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B\FBI\RotenIC\"/>
    </mc:Choice>
  </mc:AlternateContent>
  <bookViews>
    <workbookView xWindow="0" yWindow="0" windowWidth="6525" windowHeight="6900" activeTab="4"/>
  </bookViews>
  <sheets>
    <sheet name="Financials" sheetId="1" r:id="rId1"/>
    <sheet name="Sheet1" sheetId="5" state="hidden" r:id="rId2"/>
    <sheet name="Questions" sheetId="2" r:id="rId3"/>
    <sheet name="Part B" sheetId="4" r:id="rId4"/>
    <sheet name="Results" sheetId="3" r:id="rId5"/>
  </sheets>
  <definedNames>
    <definedName name="BS_2015">Financials!$B$25:$J$34</definedName>
    <definedName name="BS_2016">Financials!$B$36:$J$45</definedName>
    <definedName name="Inputs">Financials!$B$5:$G$22</definedName>
    <definedName name="IS_2015">Financials!$B$47:$E$60</definedName>
    <definedName name="IS_2016">Financials!$B$62:$E$75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N43" i="3" l="1"/>
  <c r="N40" i="3"/>
  <c r="N37" i="3"/>
  <c r="N38" i="3"/>
  <c r="N39" i="3" s="1"/>
  <c r="N41" i="3" l="1"/>
  <c r="O77" i="5" l="1"/>
  <c r="O62" i="5"/>
  <c r="O46" i="5"/>
  <c r="K77" i="5"/>
  <c r="K62" i="5"/>
  <c r="N33" i="5"/>
  <c r="S8" i="3"/>
  <c r="N30" i="5"/>
  <c r="N22" i="5"/>
  <c r="N19" i="5"/>
  <c r="I77" i="5"/>
  <c r="I62" i="5"/>
  <c r="S11" i="3" l="1"/>
  <c r="S7" i="3"/>
  <c r="S10" i="3" s="1"/>
  <c r="N20" i="3"/>
  <c r="N25" i="3"/>
  <c r="M71" i="3" s="1"/>
  <c r="N12" i="3"/>
  <c r="N9" i="3"/>
  <c r="N8" i="3"/>
  <c r="N7" i="3"/>
  <c r="N22" i="3" l="1"/>
  <c r="M68" i="3" s="1"/>
  <c r="M66" i="3"/>
  <c r="G79" i="3"/>
  <c r="M69" i="3"/>
  <c r="N21" i="3"/>
  <c r="N24" i="3" s="1"/>
  <c r="N10" i="3"/>
  <c r="N13" i="3" s="1"/>
  <c r="M58" i="3" s="1"/>
  <c r="S57" i="3" l="1"/>
  <c r="N26" i="3"/>
  <c r="N27" i="3" s="1"/>
  <c r="M67" i="3"/>
  <c r="M70" i="3" s="1"/>
  <c r="M72" i="3" s="1"/>
  <c r="S55" i="3"/>
  <c r="S54" i="3"/>
  <c r="G73" i="3"/>
  <c r="S53" i="3"/>
  <c r="M55" i="3"/>
  <c r="M54" i="3"/>
  <c r="M53" i="3"/>
  <c r="M56" i="3" l="1"/>
  <c r="M59" i="3" s="1"/>
  <c r="S56" i="3"/>
  <c r="N28" i="3"/>
  <c r="N29" i="3" s="1"/>
  <c r="N30" i="3" s="1"/>
  <c r="S12" i="3" s="1"/>
  <c r="M73" i="3"/>
  <c r="M74" i="3" s="1"/>
  <c r="E79" i="3"/>
  <c r="C79" i="3"/>
  <c r="E78" i="3"/>
  <c r="C78" i="3"/>
  <c r="E73" i="3"/>
  <c r="C73" i="3"/>
  <c r="E72" i="3"/>
  <c r="C72" i="3"/>
  <c r="C74" i="3" s="1"/>
  <c r="E66" i="3"/>
  <c r="C66" i="3"/>
  <c r="E67" i="3"/>
  <c r="C67" i="3"/>
  <c r="C57" i="3"/>
  <c r="C56" i="3"/>
  <c r="C55" i="3"/>
  <c r="C54" i="3"/>
  <c r="C53" i="3"/>
  <c r="C52" i="3"/>
  <c r="C50" i="3"/>
  <c r="C51" i="3"/>
  <c r="C49" i="3"/>
  <c r="C42" i="3"/>
  <c r="C41" i="3"/>
  <c r="C40" i="3"/>
  <c r="C39" i="3"/>
  <c r="C38" i="3"/>
  <c r="C35" i="3"/>
  <c r="C36" i="3"/>
  <c r="C37" i="3"/>
  <c r="C34" i="3"/>
  <c r="H23" i="3"/>
  <c r="H19" i="3"/>
  <c r="H24" i="3"/>
  <c r="H20" i="3"/>
  <c r="C24" i="3"/>
  <c r="C20" i="3"/>
  <c r="C21" i="3"/>
  <c r="C19" i="3"/>
  <c r="H11" i="3"/>
  <c r="H7" i="3"/>
  <c r="H8" i="3"/>
  <c r="H12" i="3"/>
  <c r="C12" i="3"/>
  <c r="C9" i="3"/>
  <c r="C8" i="3"/>
  <c r="C7" i="3"/>
  <c r="E74" i="3" l="1"/>
  <c r="S58" i="3"/>
  <c r="S59" i="3" s="1"/>
  <c r="G67" i="3"/>
  <c r="S13" i="3"/>
  <c r="G66" i="3"/>
  <c r="G68" i="3" s="1"/>
  <c r="G72" i="3"/>
  <c r="G74" i="3" s="1"/>
  <c r="G78" i="3"/>
  <c r="G80" i="3" s="1"/>
  <c r="C80" i="3"/>
  <c r="E80" i="3"/>
  <c r="C68" i="3"/>
  <c r="E68" i="3"/>
  <c r="H21" i="3"/>
  <c r="C22" i="3"/>
  <c r="C25" i="3" s="1"/>
  <c r="H25" i="3" s="1"/>
  <c r="H9" i="3"/>
  <c r="C10" i="3"/>
  <c r="C13" i="3" s="1"/>
  <c r="H13" i="3" s="1"/>
  <c r="D73" i="1"/>
  <c r="D69" i="1"/>
  <c r="D67" i="1"/>
  <c r="D66" i="1"/>
  <c r="D65" i="1"/>
  <c r="D64" i="1"/>
  <c r="D58" i="1"/>
  <c r="D54" i="1"/>
  <c r="D52" i="1"/>
  <c r="D51" i="1"/>
  <c r="D50" i="1"/>
  <c r="D49" i="1"/>
  <c r="D43" i="1"/>
  <c r="I42" i="1"/>
  <c r="D40" i="1"/>
  <c r="I39" i="1"/>
  <c r="D39" i="1"/>
  <c r="I38" i="1"/>
  <c r="D38" i="1"/>
  <c r="D32" i="1"/>
  <c r="I31" i="1"/>
  <c r="D29" i="1"/>
  <c r="I28" i="1"/>
  <c r="D28" i="1"/>
  <c r="I27" i="1"/>
  <c r="D27" i="1"/>
  <c r="N42" i="3" l="1"/>
  <c r="N45" i="3" s="1"/>
  <c r="D41" i="1"/>
  <c r="D44" i="1" s="1"/>
  <c r="I44" i="1" s="1"/>
  <c r="I40" i="1"/>
  <c r="D68" i="1"/>
  <c r="D70" i="1" s="1"/>
  <c r="D71" i="1" s="1"/>
  <c r="D72" i="1" s="1"/>
  <c r="D74" i="1" s="1"/>
  <c r="I29" i="1"/>
  <c r="D30" i="1"/>
  <c r="D33" i="1" s="1"/>
  <c r="I33" i="1" s="1"/>
  <c r="D53" i="1"/>
  <c r="D55" i="1" s="1"/>
  <c r="D56" i="1" s="1"/>
  <c r="D57" i="1" s="1"/>
  <c r="D59" i="1" s="1"/>
  <c r="I32" i="1" l="1"/>
  <c r="I43" i="1"/>
</calcChain>
</file>

<file path=xl/sharedStrings.xml><?xml version="1.0" encoding="utf-8"?>
<sst xmlns="http://schemas.openxmlformats.org/spreadsheetml/2006/main" count="302" uniqueCount="86">
  <si>
    <t>Sales</t>
  </si>
  <si>
    <t>Depreciation</t>
  </si>
  <si>
    <t>Cost of goods sold</t>
  </si>
  <si>
    <t>Other expenses</t>
  </si>
  <si>
    <t>Interest</t>
  </si>
  <si>
    <t>Cash</t>
  </si>
  <si>
    <t>Accounts receivable</t>
  </si>
  <si>
    <t>Short-term notes payable</t>
  </si>
  <si>
    <t>Long-term debt</t>
  </si>
  <si>
    <t>Net fixed assets</t>
  </si>
  <si>
    <t>Accounts payable</t>
  </si>
  <si>
    <t>Inventory</t>
  </si>
  <si>
    <t>Dividends</t>
  </si>
  <si>
    <t>Tax rate</t>
  </si>
  <si>
    <t>Balance sheet as of Dec. 31, 2015</t>
  </si>
  <si>
    <t>Notes payable</t>
  </si>
  <si>
    <t>Current liabilities</t>
  </si>
  <si>
    <t>Current assets</t>
  </si>
  <si>
    <t>Owners' equity</t>
  </si>
  <si>
    <t>Total assets</t>
  </si>
  <si>
    <t>Total liab. &amp; equity</t>
  </si>
  <si>
    <t>Balance sheet as of Dec. 31, 2016</t>
  </si>
  <si>
    <t>2015 Income Statement</t>
  </si>
  <si>
    <t>Costs</t>
  </si>
  <si>
    <t>EBIT</t>
  </si>
  <si>
    <t>EBT</t>
  </si>
  <si>
    <t>Taxes</t>
  </si>
  <si>
    <t>Net income</t>
  </si>
  <si>
    <t>Addition to retained earnings</t>
  </si>
  <si>
    <t>2016 Income Statement</t>
  </si>
  <si>
    <t>FINANCIAL INFORMATION</t>
  </si>
  <si>
    <t>Share Outstanding</t>
  </si>
  <si>
    <t>Graham's Amazing Service, LLC</t>
  </si>
  <si>
    <t>Annual Inputs</t>
  </si>
  <si>
    <t>Financial Statements</t>
  </si>
  <si>
    <t>Create a common size balance sheet for 2015 and 2016.</t>
  </si>
  <si>
    <t>Create a common size income statement for 2015 and 2016.</t>
  </si>
  <si>
    <t>Calculate the ROE for 2015 and 2016 (&amp; Dupont Analysis).</t>
  </si>
  <si>
    <t>Calculate the ROA for 2015 and 2016.</t>
  </si>
  <si>
    <t>More to come</t>
  </si>
  <si>
    <t xml:space="preserve">Note: </t>
  </si>
  <si>
    <t>Question 1 - Common Size Balance Sheet for 2015 and 2016</t>
  </si>
  <si>
    <t>Question 2 - Common Size Income Statement for 2015 and 2016</t>
  </si>
  <si>
    <t>Question 3 - ROE for 2015 and 2016 (&amp; Dupont Analysis)</t>
  </si>
  <si>
    <t>Net Income</t>
  </si>
  <si>
    <t>Common Equity</t>
  </si>
  <si>
    <t>ROE</t>
  </si>
  <si>
    <t>Total Assets</t>
  </si>
  <si>
    <t>Question 4 - ROA for 2015 and 2016</t>
  </si>
  <si>
    <t>ROA</t>
  </si>
  <si>
    <t>Question 5 - Profit Margin for 2015 and 2016</t>
  </si>
  <si>
    <t>Profit Margin</t>
  </si>
  <si>
    <t>1. Create Pro Forma Financial Statements for 2017.</t>
  </si>
  <si>
    <t>Assumptions for Income Statement</t>
  </si>
  <si>
    <t>Sales increase</t>
  </si>
  <si>
    <t>Costs/sales</t>
  </si>
  <si>
    <t>Other expenses/sales</t>
  </si>
  <si>
    <t>No change from 2016</t>
  </si>
  <si>
    <t>Retention ratio</t>
  </si>
  <si>
    <t>Assumptions for Balance sheet</t>
  </si>
  <si>
    <t>increase of 1%</t>
  </si>
  <si>
    <t>increase of 4%</t>
  </si>
  <si>
    <t>decrease of 25%</t>
  </si>
  <si>
    <t>decrease of 1%</t>
  </si>
  <si>
    <t>decrease of 2%</t>
  </si>
  <si>
    <t>2. Calculate ratios for 2017 (based on Pro Forma statements).</t>
  </si>
  <si>
    <t>Pro Forma Financial Statements for 2017</t>
  </si>
  <si>
    <t>Pro Forma Balance sheet as of Dec. 31, 2017</t>
  </si>
  <si>
    <t>2017 Pro Forma Income Statement</t>
  </si>
  <si>
    <t>Line of Credit</t>
  </si>
  <si>
    <t>Common Size Balance Sheet &amp; Income Statement for Pro Forma Year 2017</t>
  </si>
  <si>
    <t>Common Size Pro Forma Balance sheet as of Dec. 31, 2017</t>
  </si>
  <si>
    <t>Common Size</t>
  </si>
  <si>
    <t>Part C</t>
  </si>
  <si>
    <t>AFN Calculation</t>
  </si>
  <si>
    <r>
      <t>A</t>
    </r>
    <r>
      <rPr>
        <sz val="11"/>
        <color theme="1"/>
        <rFont val="Calibri"/>
        <family val="2"/>
      </rPr>
      <t>ₒ</t>
    </r>
  </si>
  <si>
    <t>(Aₒ/Sₒ)ΔS - (Lₒ/Sₒ)ΔS - S₁ * M * (1 - Payout Ratio) = AFN</t>
  </si>
  <si>
    <t>Sₒ</t>
  </si>
  <si>
    <t>ΔS</t>
  </si>
  <si>
    <t>Lₒ</t>
  </si>
  <si>
    <r>
      <t>S</t>
    </r>
    <r>
      <rPr>
        <sz val="11"/>
        <color theme="1"/>
        <rFont val="Calibri"/>
        <family val="2"/>
      </rPr>
      <t>₁</t>
    </r>
  </si>
  <si>
    <t>M</t>
  </si>
  <si>
    <t>Payout Ratio</t>
  </si>
  <si>
    <t>AFN</t>
  </si>
  <si>
    <t>Assignment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</si>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</sst>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&quot;$&quot;* #,##0.000_);_(&quot;$&quot;* \(#,##0.000\);_(&quot;$&quot;* &quot;-&quot;?_);_(@_)"/>
    <numFmt numFmtId="169" formatCode="_(&quot;$&quot;* #,##0.0000_);_(&quot;$&quot;* \(#,##0.0000\);_(&quot;$&quot;* &quot;-&quot;?_);_(@_)"/>
    <numFmt numFmtId="170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sz val="12"/>
      <color theme="8" tint="-0.499984740745262"/>
      <name val="Arial"/>
      <family val="2"/>
    </font>
    <font>
      <u/>
      <sz val="12"/>
      <color theme="8" tint="-0.499984740745262"/>
      <name val="Arial"/>
      <family val="2"/>
    </font>
    <font>
      <u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4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4" fontId="0" fillId="0" borderId="0" xfId="0" applyNumberFormat="1"/>
    <xf numFmtId="44" fontId="0" fillId="0" borderId="0" xfId="0" applyNumberFormat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37" fontId="3" fillId="3" borderId="2" xfId="0" applyNumberFormat="1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Border="1" applyAlignment="1"/>
    <xf numFmtId="166" fontId="3" fillId="3" borderId="0" xfId="1" applyNumberFormat="1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41" fontId="3" fillId="3" borderId="0" xfId="1" applyNumberFormat="1" applyFont="1" applyFill="1" applyBorder="1"/>
    <xf numFmtId="41" fontId="3" fillId="3" borderId="0" xfId="0" applyNumberFormat="1" applyFont="1" applyFill="1" applyBorder="1"/>
    <xf numFmtId="41" fontId="3" fillId="3" borderId="9" xfId="0" applyNumberFormat="1" applyFont="1" applyFill="1" applyBorder="1"/>
    <xf numFmtId="0" fontId="3" fillId="0" borderId="0" xfId="0" applyFont="1" applyAlignment="1">
      <alignment horizontal="right"/>
    </xf>
    <xf numFmtId="166" fontId="3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165" fontId="3" fillId="3" borderId="0" xfId="0" applyNumberFormat="1" applyFont="1" applyFill="1" applyBorder="1"/>
    <xf numFmtId="166" fontId="3" fillId="3" borderId="9" xfId="1" applyNumberFormat="1" applyFont="1" applyFill="1" applyBorder="1"/>
    <xf numFmtId="0" fontId="3" fillId="3" borderId="0" xfId="0" quotePrefix="1" applyFont="1" applyFill="1" applyBorder="1"/>
    <xf numFmtId="44" fontId="3" fillId="3" borderId="0" xfId="1" applyFont="1" applyFill="1" applyBorder="1" applyAlignment="1">
      <alignment horizontal="left"/>
    </xf>
    <xf numFmtId="166" fontId="3" fillId="3" borderId="9" xfId="0" applyNumberFormat="1" applyFont="1" applyFill="1" applyBorder="1"/>
    <xf numFmtId="166" fontId="3" fillId="3" borderId="10" xfId="0" applyNumberFormat="1" applyFont="1" applyFill="1" applyBorder="1"/>
    <xf numFmtId="166" fontId="3" fillId="3" borderId="11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44" fontId="6" fillId="3" borderId="7" xfId="1" applyFont="1" applyFill="1" applyBorder="1"/>
    <xf numFmtId="0" fontId="3" fillId="3" borderId="8" xfId="0" applyFont="1" applyFill="1" applyBorder="1"/>
    <xf numFmtId="44" fontId="7" fillId="0" borderId="0" xfId="1" applyFont="1" applyFill="1" applyBorder="1"/>
    <xf numFmtId="0" fontId="3" fillId="3" borderId="3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Continuous"/>
    </xf>
    <xf numFmtId="44" fontId="3" fillId="3" borderId="0" xfId="1" applyNumberFormat="1" applyFont="1" applyFill="1" applyBorder="1"/>
    <xf numFmtId="166" fontId="3" fillId="3" borderId="5" xfId="1" applyNumberFormat="1" applyFont="1" applyFill="1" applyBorder="1"/>
    <xf numFmtId="167" fontId="3" fillId="3" borderId="0" xfId="1" applyNumberFormat="1" applyFont="1" applyFill="1" applyBorder="1"/>
    <xf numFmtId="41" fontId="3" fillId="3" borderId="5" xfId="1" applyNumberFormat="1" applyFont="1" applyFill="1" applyBorder="1"/>
    <xf numFmtId="39" fontId="3" fillId="3" borderId="9" xfId="1" applyNumberFormat="1" applyFont="1" applyFill="1" applyBorder="1" applyAlignment="1">
      <alignment horizontal="right"/>
    </xf>
    <xf numFmtId="0" fontId="5" fillId="3" borderId="5" xfId="0" applyFont="1" applyFill="1" applyBorder="1"/>
    <xf numFmtId="39" fontId="3" fillId="3" borderId="9" xfId="1" applyNumberFormat="1" applyFont="1" applyFill="1" applyBorder="1"/>
    <xf numFmtId="0" fontId="3" fillId="3" borderId="0" xfId="0" applyFont="1" applyFill="1" applyBorder="1" applyAlignment="1">
      <alignment horizontal="left"/>
    </xf>
    <xf numFmtId="43" fontId="3" fillId="3" borderId="9" xfId="0" applyNumberFormat="1" applyFont="1" applyFill="1" applyBorder="1" applyAlignment="1">
      <alignment horizontal="left"/>
    </xf>
    <xf numFmtId="166" fontId="3" fillId="3" borderId="5" xfId="0" applyNumberFormat="1" applyFont="1" applyFill="1" applyBorder="1" applyAlignment="1">
      <alignment horizontal="left"/>
    </xf>
    <xf numFmtId="44" fontId="3" fillId="3" borderId="11" xfId="1" applyFont="1" applyFill="1" applyBorder="1"/>
    <xf numFmtId="44" fontId="3" fillId="3" borderId="0" xfId="1" applyFont="1" applyFill="1" applyBorder="1"/>
    <xf numFmtId="39" fontId="3" fillId="3" borderId="0" xfId="0" applyNumberFormat="1" applyFont="1" applyFill="1" applyBorder="1"/>
    <xf numFmtId="0" fontId="5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3" fontId="8" fillId="2" borderId="7" xfId="0" applyNumberFormat="1" applyFont="1" applyFill="1" applyBorder="1"/>
    <xf numFmtId="0" fontId="8" fillId="2" borderId="7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42" fontId="8" fillId="2" borderId="0" xfId="0" applyNumberFormat="1" applyFont="1" applyFill="1" applyBorder="1"/>
    <xf numFmtId="0" fontId="11" fillId="2" borderId="0" xfId="0" applyFont="1" applyFill="1" applyBorder="1"/>
    <xf numFmtId="37" fontId="8" fillId="2" borderId="0" xfId="0" applyNumberFormat="1" applyFont="1" applyFill="1" applyBorder="1"/>
    <xf numFmtId="37" fontId="8" fillId="2" borderId="0" xfId="2" applyNumberFormat="1" applyFont="1" applyFill="1" applyBorder="1"/>
    <xf numFmtId="37" fontId="8" fillId="2" borderId="0" xfId="1" applyNumberFormat="1" applyFont="1" applyFill="1" applyBorder="1"/>
    <xf numFmtId="5" fontId="8" fillId="2" borderId="0" xfId="2" applyNumberFormat="1" applyFont="1" applyFill="1" applyBorder="1"/>
    <xf numFmtId="165" fontId="8" fillId="2" borderId="0" xfId="0" applyNumberFormat="1" applyFont="1" applyFill="1" applyBorder="1"/>
    <xf numFmtId="9" fontId="8" fillId="2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170" fontId="0" fillId="0" borderId="0" xfId="2" applyNumberFormat="1" applyFont="1"/>
    <xf numFmtId="170" fontId="3" fillId="3" borderId="2" xfId="2" applyNumberFormat="1" applyFont="1" applyFill="1" applyBorder="1"/>
    <xf numFmtId="170" fontId="3" fillId="3" borderId="0" xfId="2" applyNumberFormat="1" applyFont="1" applyFill="1" applyBorder="1"/>
    <xf numFmtId="170" fontId="3" fillId="3" borderId="9" xfId="2" applyNumberFormat="1" applyFont="1" applyFill="1" applyBorder="1"/>
    <xf numFmtId="170" fontId="3" fillId="3" borderId="10" xfId="2" applyNumberFormat="1" applyFont="1" applyFill="1" applyBorder="1"/>
    <xf numFmtId="170" fontId="3" fillId="3" borderId="7" xfId="2" applyNumberFormat="1" applyFont="1" applyFill="1" applyBorder="1"/>
    <xf numFmtId="170" fontId="3" fillId="3" borderId="11" xfId="2" applyNumberFormat="1" applyFont="1" applyFill="1" applyBorder="1"/>
    <xf numFmtId="170" fontId="6" fillId="3" borderId="7" xfId="2" applyNumberFormat="1" applyFont="1" applyFill="1" applyBorder="1"/>
    <xf numFmtId="170" fontId="12" fillId="0" borderId="0" xfId="2" applyNumberFormat="1" applyFont="1"/>
    <xf numFmtId="0" fontId="12" fillId="0" borderId="0" xfId="0" applyFont="1" applyAlignment="1">
      <alignment horizontal="center"/>
    </xf>
    <xf numFmtId="170" fontId="0" fillId="0" borderId="0" xfId="2" applyNumberFormat="1" applyFont="1" applyAlignment="1">
      <alignment horizontal="center"/>
    </xf>
    <xf numFmtId="44" fontId="0" fillId="0" borderId="0" xfId="1" applyFont="1"/>
    <xf numFmtId="44" fontId="12" fillId="0" borderId="0" xfId="1" applyFont="1"/>
    <xf numFmtId="0" fontId="12" fillId="4" borderId="12" xfId="0" applyFont="1" applyFill="1" applyBorder="1"/>
    <xf numFmtId="0" fontId="12" fillId="0" borderId="0" xfId="0" applyFont="1" applyAlignment="1">
      <alignment horizontal="center"/>
    </xf>
    <xf numFmtId="10" fontId="12" fillId="4" borderId="13" xfId="2" applyNumberFormat="1" applyFont="1" applyFill="1" applyBorder="1"/>
    <xf numFmtId="10" fontId="12" fillId="4" borderId="14" xfId="2" applyNumberFormat="1" applyFont="1" applyFill="1" applyBorder="1"/>
    <xf numFmtId="10" fontId="12" fillId="4" borderId="13" xfId="0" applyNumberFormat="1" applyFont="1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17" xfId="0" applyBorder="1"/>
    <xf numFmtId="10" fontId="0" fillId="0" borderId="18" xfId="0" applyNumberFormat="1" applyBorder="1" applyAlignment="1">
      <alignment horizontal="left"/>
    </xf>
    <xf numFmtId="6" fontId="0" fillId="0" borderId="18" xfId="0" applyNumberFormat="1" applyBorder="1" applyAlignment="1">
      <alignment horizontal="left"/>
    </xf>
    <xf numFmtId="0" fontId="0" fillId="0" borderId="19" xfId="0" applyFill="1" applyBorder="1"/>
    <xf numFmtId="9" fontId="0" fillId="0" borderId="20" xfId="0" applyNumberForma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3" fillId="3" borderId="9" xfId="1" applyNumberFormat="1" applyFont="1" applyFill="1" applyBorder="1" applyAlignment="1">
      <alignment horizontal="right"/>
    </xf>
    <xf numFmtId="41" fontId="3" fillId="3" borderId="9" xfId="0" applyNumberFormat="1" applyFont="1" applyFill="1" applyBorder="1" applyAlignment="1">
      <alignment horizontal="left"/>
    </xf>
    <xf numFmtId="165" fontId="3" fillId="3" borderId="9" xfId="3" applyNumberFormat="1" applyFont="1" applyFill="1" applyBorder="1"/>
    <xf numFmtId="166" fontId="3" fillId="3" borderId="11" xfId="1" applyNumberFormat="1" applyFont="1" applyFill="1" applyBorder="1"/>
    <xf numFmtId="166" fontId="0" fillId="0" borderId="0" xfId="0" applyNumberFormat="1"/>
    <xf numFmtId="0" fontId="12" fillId="3" borderId="12" xfId="0" applyFont="1" applyFill="1" applyBorder="1"/>
    <xf numFmtId="10" fontId="12" fillId="3" borderId="13" xfId="2" applyNumberFormat="1" applyFont="1" applyFill="1" applyBorder="1"/>
    <xf numFmtId="0" fontId="0" fillId="3" borderId="13" xfId="0" applyFill="1" applyBorder="1"/>
    <xf numFmtId="10" fontId="12" fillId="3" borderId="14" xfId="2" applyNumberFormat="1" applyFont="1" applyFill="1" applyBorder="1"/>
    <xf numFmtId="166" fontId="0" fillId="0" borderId="0" xfId="1" applyNumberFormat="1" applyFont="1"/>
    <xf numFmtId="165" fontId="3" fillId="3" borderId="0" xfId="3" applyNumberFormat="1" applyFont="1" applyFill="1" applyBorder="1"/>
    <xf numFmtId="39" fontId="0" fillId="0" borderId="0" xfId="0" applyNumberFormat="1"/>
    <xf numFmtId="44" fontId="6" fillId="3" borderId="0" xfId="1" applyFont="1" applyFill="1" applyBorder="1"/>
    <xf numFmtId="41" fontId="0" fillId="0" borderId="0" xfId="0" applyNumberFormat="1"/>
    <xf numFmtId="10" fontId="0" fillId="0" borderId="0" xfId="2" applyNumberFormat="1" applyFont="1"/>
    <xf numFmtId="165" fontId="0" fillId="0" borderId="0" xfId="0" applyNumberFormat="1"/>
    <xf numFmtId="0" fontId="14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5" fillId="0" borderId="0" xfId="0" applyFont="1" applyAlignment="1">
      <alignment horizontal="center"/>
    </xf>
    <xf numFmtId="166" fontId="15" fillId="0" borderId="0" xfId="0" applyNumberFormat="1" applyFont="1"/>
    <xf numFmtId="6" fontId="3" fillId="3" borderId="9" xfId="1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22" workbookViewId="0">
      <selection activeCell="D44" sqref="D44"/>
    </sheetView>
  </sheetViews>
  <sheetFormatPr defaultRowHeight="15" x14ac:dyDescent="0.25"/>
  <cols>
    <col min="3" max="3" width="29.42578125" bestFit="1" customWidth="1"/>
    <col min="4" max="4" width="18.28515625" customWidth="1"/>
    <col min="6" max="6" width="15.5703125" customWidth="1"/>
    <col min="8" max="8" width="20.85546875" bestFit="1" customWidth="1"/>
    <col min="9" max="9" width="14.28515625" bestFit="1" customWidth="1"/>
  </cols>
  <sheetData>
    <row r="1" spans="2:9" ht="18" x14ac:dyDescent="0.25">
      <c r="C1" s="1" t="s">
        <v>30</v>
      </c>
    </row>
    <row r="2" spans="2:9" ht="15.75" x14ac:dyDescent="0.25">
      <c r="C2" s="2" t="s">
        <v>32</v>
      </c>
    </row>
    <row r="4" spans="2:9" ht="16.5" thickBot="1" x14ac:dyDescent="0.3">
      <c r="C4" s="3" t="s">
        <v>33</v>
      </c>
      <c r="D4" s="2"/>
      <c r="E4" s="2"/>
      <c r="F4" s="2"/>
      <c r="G4" s="2"/>
    </row>
    <row r="5" spans="2:9" ht="15.75" x14ac:dyDescent="0.25">
      <c r="B5" s="4"/>
      <c r="C5" s="5"/>
      <c r="D5" s="6"/>
      <c r="E5" s="6"/>
      <c r="F5" s="6"/>
      <c r="G5" s="7"/>
    </row>
    <row r="6" spans="2:9" ht="15.75" x14ac:dyDescent="0.25">
      <c r="B6" s="8"/>
      <c r="C6" s="9"/>
      <c r="D6" s="72">
        <v>2015</v>
      </c>
      <c r="E6" s="73"/>
      <c r="F6" s="72">
        <v>2016</v>
      </c>
      <c r="G6" s="10"/>
    </row>
    <row r="7" spans="2:9" ht="15.75" x14ac:dyDescent="0.25">
      <c r="B7" s="8"/>
      <c r="C7" s="11" t="s">
        <v>0</v>
      </c>
      <c r="D7" s="74">
        <v>1157300</v>
      </c>
      <c r="E7" s="75"/>
      <c r="F7" s="74">
        <v>1293600</v>
      </c>
      <c r="G7" s="10"/>
      <c r="H7" s="68"/>
      <c r="I7" s="13"/>
    </row>
    <row r="8" spans="2:9" ht="15.75" x14ac:dyDescent="0.25">
      <c r="B8" s="8"/>
      <c r="C8" s="11" t="s">
        <v>1</v>
      </c>
      <c r="D8" s="76">
        <v>166100</v>
      </c>
      <c r="E8" s="75"/>
      <c r="F8" s="76">
        <v>173600</v>
      </c>
      <c r="G8" s="10"/>
      <c r="H8" s="12"/>
      <c r="I8" s="13"/>
    </row>
    <row r="9" spans="2:9" ht="15.75" x14ac:dyDescent="0.25">
      <c r="B9" s="8"/>
      <c r="C9" s="11" t="s">
        <v>2</v>
      </c>
      <c r="D9" s="76">
        <v>397900</v>
      </c>
      <c r="E9" s="75"/>
      <c r="F9" s="76">
        <v>470700</v>
      </c>
      <c r="G9" s="10"/>
      <c r="H9" s="69"/>
      <c r="I9" s="13"/>
    </row>
    <row r="10" spans="2:9" ht="15.75" x14ac:dyDescent="0.25">
      <c r="B10" s="8"/>
      <c r="C10" s="11" t="s">
        <v>3</v>
      </c>
      <c r="D10" s="76">
        <v>94600</v>
      </c>
      <c r="E10" s="75"/>
      <c r="F10" s="76">
        <v>82400</v>
      </c>
      <c r="G10" s="10"/>
      <c r="H10" s="12"/>
      <c r="I10" s="13"/>
    </row>
    <row r="11" spans="2:9" ht="15.75" x14ac:dyDescent="0.25">
      <c r="B11" s="8"/>
      <c r="C11" s="11" t="s">
        <v>4</v>
      </c>
      <c r="D11" s="77">
        <v>77600</v>
      </c>
      <c r="E11" s="75"/>
      <c r="F11" s="76">
        <v>92600</v>
      </c>
      <c r="G11" s="10"/>
      <c r="H11" s="12"/>
      <c r="I11" s="13"/>
    </row>
    <row r="12" spans="2:9" ht="15.75" x14ac:dyDescent="0.25">
      <c r="B12" s="8"/>
      <c r="C12" s="11" t="s">
        <v>5</v>
      </c>
      <c r="D12" s="77">
        <v>606700</v>
      </c>
      <c r="E12" s="75"/>
      <c r="F12" s="76">
        <v>646600</v>
      </c>
      <c r="G12" s="10"/>
      <c r="H12" s="12"/>
      <c r="I12" s="13"/>
    </row>
    <row r="13" spans="2:9" ht="15.75" x14ac:dyDescent="0.25">
      <c r="B13" s="8"/>
      <c r="C13" s="11" t="s">
        <v>6</v>
      </c>
      <c r="D13" s="78">
        <v>803400</v>
      </c>
      <c r="E13" s="75"/>
      <c r="F13" s="76">
        <v>942700</v>
      </c>
      <c r="G13" s="10"/>
      <c r="H13" s="12"/>
      <c r="I13" s="13"/>
    </row>
    <row r="14" spans="2:9" ht="15.75" x14ac:dyDescent="0.25">
      <c r="B14" s="8"/>
      <c r="C14" s="11" t="s">
        <v>7</v>
      </c>
      <c r="D14" s="77">
        <v>117100</v>
      </c>
      <c r="E14" s="75"/>
      <c r="F14" s="76">
        <v>114700</v>
      </c>
      <c r="G14" s="10"/>
      <c r="H14" s="12"/>
      <c r="I14" s="13"/>
    </row>
    <row r="15" spans="2:9" ht="15.75" x14ac:dyDescent="0.25">
      <c r="B15" s="8"/>
      <c r="C15" s="11" t="s">
        <v>8</v>
      </c>
      <c r="D15" s="77">
        <v>2032000</v>
      </c>
      <c r="E15" s="75"/>
      <c r="F15" s="76">
        <v>2463600</v>
      </c>
      <c r="G15" s="10"/>
      <c r="H15" s="12"/>
      <c r="I15" s="13"/>
    </row>
    <row r="16" spans="2:9" ht="15.75" x14ac:dyDescent="0.25">
      <c r="B16" s="8"/>
      <c r="C16" s="11" t="s">
        <v>9</v>
      </c>
      <c r="D16" s="77">
        <v>5088800</v>
      </c>
      <c r="E16" s="75"/>
      <c r="F16" s="76">
        <v>5427300</v>
      </c>
      <c r="G16" s="10"/>
      <c r="H16" s="12"/>
      <c r="I16" s="13"/>
    </row>
    <row r="17" spans="1:11" ht="15.75" x14ac:dyDescent="0.25">
      <c r="B17" s="8"/>
      <c r="C17" s="11" t="s">
        <v>10</v>
      </c>
      <c r="D17" s="77">
        <v>438400</v>
      </c>
      <c r="E17" s="75"/>
      <c r="F17" s="76">
        <v>464400</v>
      </c>
      <c r="G17" s="10"/>
      <c r="H17" s="12"/>
      <c r="I17" s="13"/>
    </row>
    <row r="18" spans="1:11" ht="15.75" x14ac:dyDescent="0.25">
      <c r="B18" s="8"/>
      <c r="C18" s="11" t="s">
        <v>11</v>
      </c>
      <c r="D18" s="77">
        <v>1428300</v>
      </c>
      <c r="E18" s="75"/>
      <c r="F18" s="76">
        <v>1528800</v>
      </c>
      <c r="G18" s="10"/>
      <c r="H18" s="12"/>
      <c r="I18" s="13"/>
    </row>
    <row r="19" spans="1:11" ht="15.75" x14ac:dyDescent="0.25">
      <c r="B19" s="8"/>
      <c r="C19" s="11" t="s">
        <v>12</v>
      </c>
      <c r="D19" s="77">
        <v>141100</v>
      </c>
      <c r="E19" s="75"/>
      <c r="F19" s="76">
        <v>161800</v>
      </c>
      <c r="G19" s="10"/>
      <c r="H19" s="69"/>
      <c r="I19" s="13"/>
    </row>
    <row r="20" spans="1:11" ht="15.75" x14ac:dyDescent="0.25">
      <c r="B20" s="8"/>
      <c r="C20" s="11"/>
      <c r="D20" s="79"/>
      <c r="E20" s="75"/>
      <c r="F20" s="80"/>
      <c r="G20" s="10"/>
    </row>
    <row r="21" spans="1:11" ht="15.75" x14ac:dyDescent="0.25">
      <c r="B21" s="8"/>
      <c r="C21" s="11" t="s">
        <v>13</v>
      </c>
      <c r="D21" s="81">
        <v>0.34</v>
      </c>
      <c r="E21" s="75"/>
      <c r="F21" s="81">
        <v>0.34</v>
      </c>
      <c r="G21" s="10"/>
    </row>
    <row r="22" spans="1:11" ht="16.5" thickBot="1" x14ac:dyDescent="0.3">
      <c r="B22" s="14"/>
      <c r="C22" s="15" t="s">
        <v>31</v>
      </c>
      <c r="D22" s="70">
        <v>10000</v>
      </c>
      <c r="E22" s="71"/>
      <c r="F22" s="70">
        <v>10000</v>
      </c>
      <c r="G22" s="16"/>
    </row>
    <row r="23" spans="1:11" ht="15.75" x14ac:dyDescent="0.25">
      <c r="C23" s="2"/>
      <c r="D23" s="2"/>
      <c r="E23" s="2"/>
      <c r="F23" s="2"/>
      <c r="G23" s="2"/>
    </row>
    <row r="24" spans="1:11" ht="16.5" thickBot="1" x14ac:dyDescent="0.3">
      <c r="C24" s="3" t="s">
        <v>34</v>
      </c>
      <c r="D24" s="2"/>
      <c r="E24" s="2"/>
      <c r="F24" s="2"/>
      <c r="G24" s="2"/>
    </row>
    <row r="25" spans="1:11" ht="15.75" x14ac:dyDescent="0.25">
      <c r="B25" s="19"/>
      <c r="C25" s="20"/>
      <c r="D25" s="20"/>
      <c r="E25" s="20"/>
      <c r="F25" s="20"/>
      <c r="G25" s="20"/>
      <c r="H25" s="20"/>
      <c r="I25" s="21"/>
      <c r="J25" s="22"/>
      <c r="K25" s="17"/>
    </row>
    <row r="26" spans="1:11" ht="16.5" thickBot="1" x14ac:dyDescent="0.3">
      <c r="A26" s="2"/>
      <c r="B26" s="23"/>
      <c r="C26" s="137" t="s">
        <v>14</v>
      </c>
      <c r="D26" s="137"/>
      <c r="E26" s="137"/>
      <c r="F26" s="137"/>
      <c r="G26" s="137"/>
      <c r="H26" s="137"/>
      <c r="I26" s="137"/>
      <c r="J26" s="24"/>
      <c r="K26" s="18"/>
    </row>
    <row r="27" spans="1:11" ht="15.75" x14ac:dyDescent="0.25">
      <c r="A27" s="2"/>
      <c r="B27" s="23"/>
      <c r="C27" s="25" t="s">
        <v>5</v>
      </c>
      <c r="D27" s="26">
        <f>D12</f>
        <v>606700</v>
      </c>
      <c r="E27" s="26"/>
      <c r="F27" s="27"/>
      <c r="G27" s="28"/>
      <c r="H27" s="26" t="s">
        <v>10</v>
      </c>
      <c r="I27" s="26">
        <f>D17</f>
        <v>438400</v>
      </c>
      <c r="J27" s="24"/>
      <c r="K27" s="18"/>
    </row>
    <row r="28" spans="1:11" ht="15.75" x14ac:dyDescent="0.25">
      <c r="A28" s="2"/>
      <c r="B28" s="23"/>
      <c r="C28" s="27" t="s">
        <v>6</v>
      </c>
      <c r="D28" s="29">
        <f>D13</f>
        <v>803400</v>
      </c>
      <c r="E28" s="29"/>
      <c r="F28" s="27"/>
      <c r="G28" s="28"/>
      <c r="H28" s="30" t="s">
        <v>15</v>
      </c>
      <c r="I28" s="31">
        <f>D14</f>
        <v>117100</v>
      </c>
      <c r="J28" s="24"/>
      <c r="K28" s="18"/>
    </row>
    <row r="29" spans="1:11" ht="15.75" x14ac:dyDescent="0.25">
      <c r="A29" s="2"/>
      <c r="B29" s="23"/>
      <c r="C29" s="27" t="s">
        <v>11</v>
      </c>
      <c r="D29" s="31">
        <f>D18</f>
        <v>1428300</v>
      </c>
      <c r="E29" s="27"/>
      <c r="F29" s="27"/>
      <c r="G29" s="28"/>
      <c r="H29" s="26" t="s">
        <v>16</v>
      </c>
      <c r="I29" s="26">
        <f>I27+I28</f>
        <v>555500</v>
      </c>
      <c r="J29" s="24"/>
      <c r="K29" s="18"/>
    </row>
    <row r="30" spans="1:11" ht="15.75" x14ac:dyDescent="0.25">
      <c r="A30" s="32"/>
      <c r="B30" s="23"/>
      <c r="C30" s="27" t="s">
        <v>17</v>
      </c>
      <c r="D30" s="33">
        <f>D27+D28+D29</f>
        <v>2838400</v>
      </c>
      <c r="E30" s="27"/>
      <c r="F30" s="34"/>
      <c r="G30" s="28"/>
      <c r="H30" s="35"/>
      <c r="I30" s="33"/>
      <c r="J30" s="24"/>
      <c r="K30" s="18"/>
    </row>
    <row r="31" spans="1:11" ht="15.75" x14ac:dyDescent="0.25">
      <c r="A31" s="2"/>
      <c r="B31" s="23"/>
      <c r="C31" s="27"/>
      <c r="D31" s="26"/>
      <c r="E31" s="26"/>
      <c r="F31" s="27"/>
      <c r="G31" s="28"/>
      <c r="H31" s="26" t="s">
        <v>8</v>
      </c>
      <c r="I31" s="26">
        <f>D15</f>
        <v>2032000</v>
      </c>
      <c r="J31" s="24"/>
      <c r="K31" s="18"/>
    </row>
    <row r="32" spans="1:11" ht="15.75" x14ac:dyDescent="0.25">
      <c r="A32" s="2"/>
      <c r="B32" s="23"/>
      <c r="C32" s="27" t="s">
        <v>9</v>
      </c>
      <c r="D32" s="36">
        <f>D16</f>
        <v>5088800</v>
      </c>
      <c r="E32" s="26"/>
      <c r="F32" s="37"/>
      <c r="G32" s="28"/>
      <c r="H32" s="38" t="s">
        <v>18</v>
      </c>
      <c r="I32" s="39">
        <f>I33-I31-I29</f>
        <v>5339700</v>
      </c>
      <c r="J32" s="24"/>
      <c r="K32" s="18"/>
    </row>
    <row r="33" spans="1:11" ht="16.5" thickBot="1" x14ac:dyDescent="0.3">
      <c r="A33" s="2"/>
      <c r="B33" s="23"/>
      <c r="C33" s="27" t="s">
        <v>19</v>
      </c>
      <c r="D33" s="40">
        <f>D30+D32</f>
        <v>7927200</v>
      </c>
      <c r="E33" s="27"/>
      <c r="F33" s="27"/>
      <c r="G33" s="28"/>
      <c r="H33" s="35" t="s">
        <v>20</v>
      </c>
      <c r="I33" s="41">
        <f>D33</f>
        <v>7927200</v>
      </c>
      <c r="J33" s="24"/>
      <c r="K33" s="18"/>
    </row>
    <row r="34" spans="1:11" ht="17.25" thickTop="1" thickBot="1" x14ac:dyDescent="0.3">
      <c r="A34" s="2"/>
      <c r="B34" s="42"/>
      <c r="C34" s="43"/>
      <c r="D34" s="43"/>
      <c r="E34" s="43"/>
      <c r="F34" s="43"/>
      <c r="G34" s="43"/>
      <c r="H34" s="43"/>
      <c r="I34" s="44"/>
      <c r="J34" s="45"/>
      <c r="K34" s="18"/>
    </row>
    <row r="35" spans="1:11" ht="16.5" thickBot="1" x14ac:dyDescent="0.3">
      <c r="A35" s="2"/>
      <c r="B35" s="18"/>
      <c r="C35" s="18"/>
      <c r="D35" s="18"/>
      <c r="E35" s="18"/>
      <c r="F35" s="18"/>
      <c r="G35" s="18"/>
      <c r="H35" s="18"/>
      <c r="I35" s="46"/>
      <c r="J35" s="18"/>
      <c r="K35" s="18"/>
    </row>
    <row r="36" spans="1:11" ht="15.75" x14ac:dyDescent="0.25">
      <c r="A36" s="2"/>
      <c r="B36" s="19"/>
      <c r="C36" s="20"/>
      <c r="D36" s="20"/>
      <c r="E36" s="20"/>
      <c r="F36" s="20"/>
      <c r="G36" s="20"/>
      <c r="H36" s="20"/>
      <c r="I36" s="21"/>
      <c r="J36" s="47"/>
      <c r="K36" s="18"/>
    </row>
    <row r="37" spans="1:11" ht="16.5" thickBot="1" x14ac:dyDescent="0.3">
      <c r="A37" s="2"/>
      <c r="B37" s="23"/>
      <c r="C37" s="137" t="s">
        <v>21</v>
      </c>
      <c r="D37" s="137"/>
      <c r="E37" s="137"/>
      <c r="F37" s="137"/>
      <c r="G37" s="137"/>
      <c r="H37" s="137"/>
      <c r="I37" s="137"/>
      <c r="J37" s="24"/>
      <c r="K37" s="18"/>
    </row>
    <row r="38" spans="1:11" ht="15.75" x14ac:dyDescent="0.25">
      <c r="A38" s="2"/>
      <c r="B38" s="23"/>
      <c r="C38" s="25" t="s">
        <v>5</v>
      </c>
      <c r="D38" s="26">
        <f>F12</f>
        <v>646600</v>
      </c>
      <c r="E38" s="26"/>
      <c r="F38" s="27"/>
      <c r="G38" s="28"/>
      <c r="H38" s="26" t="s">
        <v>10</v>
      </c>
      <c r="I38" s="26">
        <f>F17</f>
        <v>464400</v>
      </c>
      <c r="J38" s="24"/>
      <c r="K38" s="2"/>
    </row>
    <row r="39" spans="1:11" ht="15.75" x14ac:dyDescent="0.25">
      <c r="A39" s="2"/>
      <c r="B39" s="23"/>
      <c r="C39" s="27" t="s">
        <v>6</v>
      </c>
      <c r="D39" s="29">
        <f>F13</f>
        <v>942700</v>
      </c>
      <c r="E39" s="29"/>
      <c r="F39" s="27"/>
      <c r="G39" s="28"/>
      <c r="H39" s="30" t="s">
        <v>15</v>
      </c>
      <c r="I39" s="31">
        <f>F14</f>
        <v>114700</v>
      </c>
      <c r="J39" s="24"/>
      <c r="K39" s="2"/>
    </row>
    <row r="40" spans="1:11" ht="15.75" x14ac:dyDescent="0.25">
      <c r="A40" s="2"/>
      <c r="B40" s="23"/>
      <c r="C40" s="27" t="s">
        <v>11</v>
      </c>
      <c r="D40" s="31">
        <f>F18</f>
        <v>1528800</v>
      </c>
      <c r="E40" s="27"/>
      <c r="F40" s="27"/>
      <c r="G40" s="28"/>
      <c r="H40" s="26" t="s">
        <v>16</v>
      </c>
      <c r="I40" s="26">
        <f>I38+I39</f>
        <v>579100</v>
      </c>
      <c r="J40" s="24"/>
      <c r="K40" s="2"/>
    </row>
    <row r="41" spans="1:11" ht="15.75" x14ac:dyDescent="0.25">
      <c r="A41" s="2"/>
      <c r="B41" s="23"/>
      <c r="C41" s="27" t="s">
        <v>17</v>
      </c>
      <c r="D41" s="33">
        <f>D38+D39+D40</f>
        <v>3118100</v>
      </c>
      <c r="E41" s="27"/>
      <c r="F41" s="34"/>
      <c r="G41" s="28"/>
      <c r="H41" s="35"/>
      <c r="I41" s="33"/>
      <c r="J41" s="24"/>
      <c r="K41" s="2"/>
    </row>
    <row r="42" spans="1:11" ht="15.75" x14ac:dyDescent="0.25">
      <c r="A42" s="2"/>
      <c r="B42" s="23"/>
      <c r="C42" s="27"/>
      <c r="D42" s="26"/>
      <c r="E42" s="26"/>
      <c r="F42" s="27"/>
      <c r="G42" s="28"/>
      <c r="H42" s="26" t="s">
        <v>8</v>
      </c>
      <c r="I42" s="26">
        <f>F15</f>
        <v>2463600</v>
      </c>
      <c r="J42" s="24"/>
      <c r="K42" s="2"/>
    </row>
    <row r="43" spans="1:11" ht="15.75" x14ac:dyDescent="0.25">
      <c r="A43" s="2"/>
      <c r="B43" s="23"/>
      <c r="C43" s="27" t="s">
        <v>9</v>
      </c>
      <c r="D43" s="36">
        <f>F16</f>
        <v>5427300</v>
      </c>
      <c r="E43" s="26"/>
      <c r="F43" s="37"/>
      <c r="G43" s="28"/>
      <c r="H43" s="38" t="s">
        <v>18</v>
      </c>
      <c r="I43" s="39">
        <f>I44-I42-I40</f>
        <v>5502700</v>
      </c>
      <c r="J43" s="24"/>
      <c r="K43" s="2"/>
    </row>
    <row r="44" spans="1:11" ht="16.5" thickBot="1" x14ac:dyDescent="0.3">
      <c r="A44" s="2"/>
      <c r="B44" s="23"/>
      <c r="C44" s="27" t="s">
        <v>19</v>
      </c>
      <c r="D44" s="40">
        <f>D41+D43</f>
        <v>8545400</v>
      </c>
      <c r="E44" s="27"/>
      <c r="F44" s="27"/>
      <c r="G44" s="28"/>
      <c r="H44" s="35" t="s">
        <v>20</v>
      </c>
      <c r="I44" s="41">
        <f>D44</f>
        <v>8545400</v>
      </c>
      <c r="J44" s="24"/>
      <c r="K44" s="2"/>
    </row>
    <row r="45" spans="1:11" ht="17.25" thickTop="1" thickBot="1" x14ac:dyDescent="0.3">
      <c r="A45" s="2"/>
      <c r="B45" s="42"/>
      <c r="C45" s="43"/>
      <c r="D45" s="43"/>
      <c r="E45" s="43"/>
      <c r="F45" s="43"/>
      <c r="G45" s="43"/>
      <c r="H45" s="43"/>
      <c r="I45" s="44"/>
      <c r="J45" s="45"/>
      <c r="K45" s="2"/>
    </row>
    <row r="46" spans="1:11" ht="16.5" thickBot="1" x14ac:dyDescent="0.3">
      <c r="A46" s="2"/>
      <c r="F46" s="2"/>
      <c r="G46" s="2"/>
      <c r="H46" s="2"/>
      <c r="I46" s="2"/>
      <c r="J46" s="2"/>
      <c r="K46" s="2"/>
    </row>
    <row r="47" spans="1:11" ht="15.75" x14ac:dyDescent="0.25">
      <c r="A47" s="2"/>
      <c r="B47" s="48"/>
      <c r="C47" s="20"/>
      <c r="D47" s="20"/>
      <c r="E47" s="47"/>
      <c r="F47" s="2"/>
      <c r="G47" s="2"/>
      <c r="H47" s="2"/>
      <c r="I47" s="2"/>
      <c r="J47" s="2"/>
      <c r="K47" s="2"/>
    </row>
    <row r="48" spans="1:11" ht="16.5" thickBot="1" x14ac:dyDescent="0.3">
      <c r="A48" s="2"/>
      <c r="B48" s="49"/>
      <c r="C48" s="137" t="s">
        <v>22</v>
      </c>
      <c r="D48" s="137"/>
      <c r="E48" s="50"/>
      <c r="F48" s="2"/>
      <c r="G48" s="2"/>
      <c r="H48" s="2"/>
      <c r="I48" s="2"/>
      <c r="J48" s="2"/>
      <c r="K48" s="2"/>
    </row>
    <row r="49" spans="1:11" ht="15.75" x14ac:dyDescent="0.25">
      <c r="A49" s="2"/>
      <c r="B49" s="49"/>
      <c r="C49" s="27" t="s">
        <v>0</v>
      </c>
      <c r="D49" s="51">
        <f>D7</f>
        <v>1157300</v>
      </c>
      <c r="E49" s="52"/>
      <c r="F49" s="2"/>
      <c r="G49" s="2"/>
      <c r="H49" s="2"/>
      <c r="I49" s="2"/>
      <c r="J49" s="2"/>
      <c r="K49" s="2"/>
    </row>
    <row r="50" spans="1:11" ht="15.75" x14ac:dyDescent="0.25">
      <c r="A50" s="2"/>
      <c r="B50" s="49"/>
      <c r="C50" s="27" t="s">
        <v>23</v>
      </c>
      <c r="D50" s="53">
        <f>D9</f>
        <v>397900</v>
      </c>
      <c r="E50" s="54"/>
      <c r="F50" s="2"/>
      <c r="G50" s="2"/>
      <c r="H50" s="2"/>
      <c r="I50" s="2"/>
      <c r="J50" s="2"/>
      <c r="K50" s="2"/>
    </row>
    <row r="51" spans="1:11" ht="15.75" x14ac:dyDescent="0.25">
      <c r="A51" s="2"/>
      <c r="B51" s="49"/>
      <c r="C51" s="27" t="s">
        <v>3</v>
      </c>
      <c r="D51" s="53">
        <f>D10</f>
        <v>94600</v>
      </c>
      <c r="E51" s="54"/>
      <c r="F51" s="2"/>
      <c r="G51" s="2"/>
      <c r="H51" s="2"/>
      <c r="I51" s="2"/>
      <c r="J51" s="2"/>
      <c r="K51" s="2"/>
    </row>
    <row r="52" spans="1:11" ht="15.75" x14ac:dyDescent="0.25">
      <c r="A52" s="2"/>
      <c r="B52" s="49"/>
      <c r="C52" s="27" t="s">
        <v>1</v>
      </c>
      <c r="D52" s="55">
        <f>D8</f>
        <v>166100</v>
      </c>
      <c r="E52" s="56"/>
      <c r="F52" s="2"/>
      <c r="G52" s="2"/>
      <c r="H52" s="2"/>
      <c r="I52" s="2"/>
      <c r="J52" s="2"/>
      <c r="K52" s="2"/>
    </row>
    <row r="53" spans="1:11" ht="15.75" x14ac:dyDescent="0.25">
      <c r="A53" s="2"/>
      <c r="B53" s="49"/>
      <c r="C53" s="27" t="s">
        <v>24</v>
      </c>
      <c r="D53" s="51">
        <f>D49-D50-D51-D52</f>
        <v>498700</v>
      </c>
      <c r="E53" s="24"/>
      <c r="F53" s="2"/>
      <c r="G53" s="2"/>
      <c r="H53" s="2"/>
      <c r="I53" s="2"/>
      <c r="J53" s="2"/>
      <c r="K53" s="2"/>
    </row>
    <row r="54" spans="1:11" ht="15.75" x14ac:dyDescent="0.25">
      <c r="A54" s="2"/>
      <c r="B54" s="49"/>
      <c r="C54" s="27" t="s">
        <v>4</v>
      </c>
      <c r="D54" s="57">
        <f>D11</f>
        <v>77600</v>
      </c>
      <c r="E54" s="52"/>
      <c r="F54" s="2"/>
      <c r="G54" s="2"/>
      <c r="H54" s="2"/>
      <c r="I54" s="2"/>
      <c r="J54" s="2"/>
      <c r="K54" s="2"/>
    </row>
    <row r="55" spans="1:11" ht="15.75" x14ac:dyDescent="0.25">
      <c r="A55" s="2"/>
      <c r="B55" s="49"/>
      <c r="C55" s="27" t="s">
        <v>25</v>
      </c>
      <c r="D55" s="51">
        <f>D53-D54</f>
        <v>421100</v>
      </c>
      <c r="E55" s="52"/>
      <c r="F55" s="2"/>
      <c r="G55" s="2"/>
      <c r="H55" s="2"/>
      <c r="I55" s="2"/>
      <c r="J55" s="2"/>
      <c r="K55" s="2"/>
    </row>
    <row r="56" spans="1:11" ht="15.75" x14ac:dyDescent="0.25">
      <c r="A56" s="2"/>
      <c r="B56" s="49"/>
      <c r="C56" s="58" t="s">
        <v>26</v>
      </c>
      <c r="D56" s="59">
        <f>D55*D21</f>
        <v>143174</v>
      </c>
      <c r="E56" s="60"/>
      <c r="F56" s="2"/>
      <c r="G56" s="2"/>
      <c r="H56" s="2"/>
      <c r="I56" s="2"/>
      <c r="J56" s="2"/>
      <c r="K56" s="2"/>
    </row>
    <row r="57" spans="1:11" ht="16.5" thickBot="1" x14ac:dyDescent="0.3">
      <c r="A57" s="2"/>
      <c r="B57" s="49"/>
      <c r="C57" s="27" t="s">
        <v>27</v>
      </c>
      <c r="D57" s="61">
        <f>D55-D56</f>
        <v>277926</v>
      </c>
      <c r="E57" s="24"/>
      <c r="F57" s="2"/>
      <c r="G57" s="2"/>
      <c r="H57" s="2"/>
      <c r="I57" s="2"/>
      <c r="J57" s="2"/>
      <c r="K57" s="2"/>
    </row>
    <row r="58" spans="1:11" ht="16.5" thickTop="1" x14ac:dyDescent="0.25">
      <c r="A58" s="2"/>
      <c r="B58" s="49"/>
      <c r="C58" s="27" t="s">
        <v>12</v>
      </c>
      <c r="D58" s="62">
        <f>D19</f>
        <v>141100</v>
      </c>
      <c r="E58" s="24"/>
      <c r="F58" s="2"/>
      <c r="G58" s="2"/>
      <c r="H58" s="2"/>
      <c r="I58" s="2"/>
      <c r="J58" s="2"/>
      <c r="K58" s="2"/>
    </row>
    <row r="59" spans="1:11" ht="15.75" x14ac:dyDescent="0.25">
      <c r="A59" s="2"/>
      <c r="B59" s="49"/>
      <c r="C59" s="27" t="s">
        <v>28</v>
      </c>
      <c r="D59" s="63">
        <f>D57-D58</f>
        <v>136826</v>
      </c>
      <c r="E59" s="24"/>
      <c r="F59" s="2"/>
      <c r="G59" s="2"/>
      <c r="H59" s="2"/>
      <c r="I59" s="2"/>
      <c r="J59" s="2"/>
      <c r="K59" s="2"/>
    </row>
    <row r="60" spans="1:11" ht="16.5" thickBot="1" x14ac:dyDescent="0.3">
      <c r="A60" s="2"/>
      <c r="B60" s="64"/>
      <c r="C60" s="65"/>
      <c r="D60" s="66"/>
      <c r="E60" s="67"/>
      <c r="F60" s="2"/>
      <c r="G60" s="2"/>
      <c r="H60" s="2"/>
      <c r="I60" s="2"/>
      <c r="J60" s="2"/>
      <c r="K60" s="2"/>
    </row>
    <row r="61" spans="1:11" ht="16.5" thickBot="1" x14ac:dyDescent="0.3">
      <c r="A61" s="2"/>
      <c r="F61" s="2"/>
      <c r="G61" s="2"/>
      <c r="H61" s="2"/>
      <c r="I61" s="2"/>
      <c r="J61" s="2"/>
      <c r="K61" s="2"/>
    </row>
    <row r="62" spans="1:11" ht="15.75" x14ac:dyDescent="0.25">
      <c r="A62" s="2"/>
      <c r="B62" s="48"/>
      <c r="C62" s="20"/>
      <c r="D62" s="20"/>
      <c r="E62" s="47"/>
      <c r="F62" s="2"/>
      <c r="G62" s="2"/>
      <c r="H62" s="2"/>
      <c r="I62" s="2"/>
      <c r="J62" s="2"/>
      <c r="K62" s="2"/>
    </row>
    <row r="63" spans="1:11" ht="16.5" thickBot="1" x14ac:dyDescent="0.3">
      <c r="A63" s="2"/>
      <c r="B63" s="49"/>
      <c r="C63" s="137" t="s">
        <v>29</v>
      </c>
      <c r="D63" s="137"/>
      <c r="E63" s="50"/>
      <c r="F63" s="2"/>
      <c r="G63" s="2"/>
      <c r="H63" s="2"/>
      <c r="I63" s="2"/>
      <c r="J63" s="2"/>
      <c r="K63" s="2"/>
    </row>
    <row r="64" spans="1:11" ht="15.75" x14ac:dyDescent="0.25">
      <c r="A64" s="2"/>
      <c r="B64" s="49"/>
      <c r="C64" s="27" t="s">
        <v>0</v>
      </c>
      <c r="D64" s="51">
        <f>F7</f>
        <v>1293600</v>
      </c>
      <c r="E64" s="52"/>
      <c r="F64" s="2"/>
      <c r="G64" s="2"/>
      <c r="H64" s="2"/>
      <c r="I64" s="2"/>
      <c r="J64" s="2"/>
      <c r="K64" s="2"/>
    </row>
    <row r="65" spans="1:11" ht="15.75" x14ac:dyDescent="0.25">
      <c r="A65" s="2"/>
      <c r="B65" s="49"/>
      <c r="C65" s="27" t="s">
        <v>23</v>
      </c>
      <c r="D65" s="53">
        <f>F9</f>
        <v>470700</v>
      </c>
      <c r="E65" s="54"/>
      <c r="F65" s="2"/>
      <c r="G65" s="2"/>
      <c r="H65" s="2"/>
      <c r="I65" s="2"/>
      <c r="J65" s="2"/>
      <c r="K65" s="2"/>
    </row>
    <row r="66" spans="1:11" ht="15.75" x14ac:dyDescent="0.25">
      <c r="A66" s="2"/>
      <c r="B66" s="49"/>
      <c r="C66" s="27" t="s">
        <v>3</v>
      </c>
      <c r="D66" s="53">
        <f>F10</f>
        <v>82400</v>
      </c>
      <c r="E66" s="54"/>
      <c r="F66" s="2"/>
      <c r="G66" s="2"/>
      <c r="H66" s="2"/>
      <c r="I66" s="2"/>
      <c r="J66" s="2"/>
      <c r="K66" s="2"/>
    </row>
    <row r="67" spans="1:11" ht="15.75" x14ac:dyDescent="0.25">
      <c r="A67" s="2"/>
      <c r="B67" s="49"/>
      <c r="C67" s="27" t="s">
        <v>1</v>
      </c>
      <c r="D67" s="55">
        <f>F8</f>
        <v>173600</v>
      </c>
      <c r="E67" s="56"/>
      <c r="F67" s="2"/>
      <c r="G67" s="2"/>
      <c r="H67" s="2"/>
      <c r="I67" s="2"/>
      <c r="J67" s="2"/>
      <c r="K67" s="2"/>
    </row>
    <row r="68" spans="1:11" ht="15.75" x14ac:dyDescent="0.25">
      <c r="A68" s="2"/>
      <c r="B68" s="49"/>
      <c r="C68" s="27" t="s">
        <v>24</v>
      </c>
      <c r="D68" s="51">
        <f>D64-D65-D66-D67</f>
        <v>566900</v>
      </c>
      <c r="E68" s="24"/>
      <c r="F68" s="2"/>
      <c r="G68" s="2"/>
      <c r="H68" s="2"/>
      <c r="I68" s="2"/>
      <c r="J68" s="2"/>
      <c r="K68" s="2"/>
    </row>
    <row r="69" spans="1:11" ht="15.75" x14ac:dyDescent="0.25">
      <c r="A69" s="2"/>
      <c r="B69" s="49"/>
      <c r="C69" s="27" t="s">
        <v>4</v>
      </c>
      <c r="D69" s="57">
        <f>F11</f>
        <v>92600</v>
      </c>
      <c r="E69" s="52"/>
      <c r="F69" s="2"/>
      <c r="G69" s="2"/>
      <c r="H69" s="2"/>
      <c r="I69" s="2"/>
      <c r="J69" s="2"/>
      <c r="K69" s="2"/>
    </row>
    <row r="70" spans="1:11" ht="15.75" x14ac:dyDescent="0.25">
      <c r="A70" s="2"/>
      <c r="B70" s="49"/>
      <c r="C70" s="27" t="s">
        <v>25</v>
      </c>
      <c r="D70" s="51">
        <f>D68-D69</f>
        <v>474300</v>
      </c>
      <c r="E70" s="52"/>
      <c r="F70" s="2"/>
      <c r="G70" s="2"/>
      <c r="H70" s="2"/>
      <c r="I70" s="2"/>
      <c r="J70" s="2"/>
      <c r="K70" s="2"/>
    </row>
    <row r="71" spans="1:11" ht="15.75" x14ac:dyDescent="0.25">
      <c r="A71" s="2"/>
      <c r="B71" s="49"/>
      <c r="C71" s="58" t="s">
        <v>26</v>
      </c>
      <c r="D71" s="59">
        <f>D70*F21</f>
        <v>161262</v>
      </c>
      <c r="E71" s="60"/>
      <c r="F71" s="2"/>
      <c r="G71" s="2"/>
      <c r="H71" s="2"/>
      <c r="I71" s="2"/>
      <c r="J71" s="2"/>
      <c r="K71" s="2"/>
    </row>
    <row r="72" spans="1:11" ht="16.5" thickBot="1" x14ac:dyDescent="0.3">
      <c r="A72" s="2"/>
      <c r="B72" s="49"/>
      <c r="C72" s="27" t="s">
        <v>27</v>
      </c>
      <c r="D72" s="61">
        <f>D70-D71</f>
        <v>313038</v>
      </c>
      <c r="E72" s="24"/>
      <c r="F72" s="2"/>
      <c r="G72" s="2"/>
      <c r="H72" s="2"/>
      <c r="I72" s="2"/>
      <c r="J72" s="2"/>
      <c r="K72" s="2"/>
    </row>
    <row r="73" spans="1:11" ht="16.5" thickTop="1" x14ac:dyDescent="0.25">
      <c r="A73" s="2"/>
      <c r="B73" s="49"/>
      <c r="C73" s="27" t="s">
        <v>12</v>
      </c>
      <c r="D73" s="62">
        <f>F19</f>
        <v>161800</v>
      </c>
      <c r="E73" s="24"/>
      <c r="F73" s="2"/>
      <c r="G73" s="2"/>
      <c r="H73" s="2"/>
      <c r="I73" s="2"/>
      <c r="J73" s="2"/>
      <c r="K73" s="2"/>
    </row>
    <row r="74" spans="1:11" ht="15.75" x14ac:dyDescent="0.25">
      <c r="A74" s="2"/>
      <c r="B74" s="49"/>
      <c r="C74" s="27" t="s">
        <v>28</v>
      </c>
      <c r="D74" s="63">
        <f>D72-D73</f>
        <v>151238</v>
      </c>
      <c r="E74" s="24"/>
      <c r="F74" s="2"/>
      <c r="G74" s="2"/>
      <c r="H74" s="2"/>
      <c r="I74" s="2"/>
      <c r="J74" s="2"/>
      <c r="K74" s="2"/>
    </row>
    <row r="75" spans="1:11" ht="16.5" thickBot="1" x14ac:dyDescent="0.3">
      <c r="A75" s="2"/>
      <c r="B75" s="64"/>
      <c r="C75" s="65"/>
      <c r="D75" s="66"/>
      <c r="E75" s="67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</sheetData>
  <mergeCells count="4">
    <mergeCell ref="C26:I26"/>
    <mergeCell ref="C37:I37"/>
    <mergeCell ref="C48:D48"/>
    <mergeCell ref="C63:D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83"/>
  <sheetViews>
    <sheetView workbookViewId="0">
      <selection activeCell="O77" sqref="O77"/>
    </sheetView>
  </sheetViews>
  <sheetFormatPr defaultRowHeight="15" x14ac:dyDescent="0.25"/>
  <cols>
    <col min="4" max="4" width="18.85546875" customWidth="1"/>
    <col min="5" max="5" width="23.85546875" customWidth="1"/>
    <col min="9" max="9" width="17.85546875" customWidth="1"/>
    <col min="10" max="10" width="19.42578125" customWidth="1"/>
    <col min="14" max="14" width="14" customWidth="1"/>
  </cols>
  <sheetData>
    <row r="4" spans="3:11" ht="15.75" thickBot="1" x14ac:dyDescent="0.3"/>
    <row r="5" spans="3:11" ht="15.75" x14ac:dyDescent="0.25">
      <c r="C5" s="19"/>
      <c r="D5" s="20"/>
      <c r="E5" s="20"/>
      <c r="F5" s="20"/>
      <c r="G5" s="20"/>
      <c r="H5" s="20"/>
      <c r="I5" s="20"/>
      <c r="J5" s="21"/>
      <c r="K5" s="22"/>
    </row>
    <row r="6" spans="3:11" ht="16.5" thickBot="1" x14ac:dyDescent="0.3">
      <c r="C6" s="23"/>
      <c r="D6" s="137" t="s">
        <v>14</v>
      </c>
      <c r="E6" s="137"/>
      <c r="F6" s="137"/>
      <c r="G6" s="137"/>
      <c r="H6" s="137"/>
      <c r="I6" s="137"/>
      <c r="J6" s="137"/>
      <c r="K6" s="24"/>
    </row>
    <row r="7" spans="3:11" ht="15.75" x14ac:dyDescent="0.25">
      <c r="C7" s="23"/>
      <c r="D7" s="25" t="s">
        <v>5</v>
      </c>
      <c r="E7" s="26">
        <v>606700</v>
      </c>
      <c r="F7" s="26"/>
      <c r="G7" s="27"/>
      <c r="H7" s="28"/>
      <c r="I7" s="26" t="s">
        <v>10</v>
      </c>
      <c r="J7" s="26">
        <v>438400</v>
      </c>
      <c r="K7" s="24"/>
    </row>
    <row r="8" spans="3:11" ht="15.75" x14ac:dyDescent="0.25">
      <c r="C8" s="23"/>
      <c r="D8" s="27" t="s">
        <v>6</v>
      </c>
      <c r="E8" s="29">
        <v>803400</v>
      </c>
      <c r="F8" s="29"/>
      <c r="G8" s="27"/>
      <c r="H8" s="28"/>
      <c r="I8" s="30" t="s">
        <v>15</v>
      </c>
      <c r="J8" s="31">
        <v>117100</v>
      </c>
      <c r="K8" s="24"/>
    </row>
    <row r="9" spans="3:11" ht="15.75" x14ac:dyDescent="0.25">
      <c r="C9" s="23"/>
      <c r="D9" s="27" t="s">
        <v>11</v>
      </c>
      <c r="E9" s="31">
        <v>1428300</v>
      </c>
      <c r="F9" s="27"/>
      <c r="G9" s="27"/>
      <c r="H9" s="28"/>
      <c r="I9" s="26" t="s">
        <v>16</v>
      </c>
      <c r="J9" s="26">
        <v>555500</v>
      </c>
      <c r="K9" s="24"/>
    </row>
    <row r="10" spans="3:11" ht="15.75" x14ac:dyDescent="0.25">
      <c r="C10" s="23"/>
      <c r="D10" s="27" t="s">
        <v>17</v>
      </c>
      <c r="E10" s="33">
        <v>2838400</v>
      </c>
      <c r="F10" s="27"/>
      <c r="G10" s="34"/>
      <c r="H10" s="28"/>
      <c r="I10" s="35"/>
      <c r="J10" s="33"/>
      <c r="K10" s="24"/>
    </row>
    <row r="11" spans="3:11" ht="15.75" x14ac:dyDescent="0.25">
      <c r="C11" s="23"/>
      <c r="D11" s="27"/>
      <c r="E11" s="26"/>
      <c r="F11" s="26"/>
      <c r="G11" s="27"/>
      <c r="H11" s="28"/>
      <c r="I11" s="26" t="s">
        <v>8</v>
      </c>
      <c r="J11" s="26">
        <v>2032000</v>
      </c>
      <c r="K11" s="24"/>
    </row>
    <row r="12" spans="3:11" ht="15.75" x14ac:dyDescent="0.25">
      <c r="C12" s="23"/>
      <c r="D12" s="27" t="s">
        <v>9</v>
      </c>
      <c r="E12" s="36">
        <v>5088800</v>
      </c>
      <c r="F12" s="26"/>
      <c r="G12" s="37"/>
      <c r="H12" s="28"/>
      <c r="I12" s="38" t="s">
        <v>18</v>
      </c>
      <c r="J12" s="39">
        <v>5339700</v>
      </c>
      <c r="K12" s="24"/>
    </row>
    <row r="13" spans="3:11" ht="16.5" thickBot="1" x14ac:dyDescent="0.3">
      <c r="C13" s="23"/>
      <c r="D13" s="27" t="s">
        <v>19</v>
      </c>
      <c r="E13" s="40">
        <v>7927200</v>
      </c>
      <c r="F13" s="27"/>
      <c r="G13" s="27"/>
      <c r="H13" s="28"/>
      <c r="I13" s="35" t="s">
        <v>20</v>
      </c>
      <c r="J13" s="41">
        <v>7927200</v>
      </c>
      <c r="K13" s="24"/>
    </row>
    <row r="14" spans="3:11" ht="17.25" thickTop="1" thickBot="1" x14ac:dyDescent="0.3">
      <c r="C14" s="42"/>
      <c r="D14" s="43"/>
      <c r="E14" s="43"/>
      <c r="F14" s="43"/>
      <c r="G14" s="43"/>
      <c r="H14" s="43"/>
      <c r="I14" s="43"/>
      <c r="J14" s="44"/>
      <c r="K14" s="45"/>
    </row>
    <row r="15" spans="3:11" ht="16.5" thickBot="1" x14ac:dyDescent="0.3">
      <c r="C15" s="18"/>
      <c r="D15" s="18"/>
      <c r="E15" s="18"/>
      <c r="F15" s="18"/>
      <c r="G15" s="18"/>
      <c r="H15" s="18"/>
      <c r="I15" s="18"/>
      <c r="J15" s="46"/>
      <c r="K15" s="18"/>
    </row>
    <row r="16" spans="3:11" ht="15.75" x14ac:dyDescent="0.25">
      <c r="C16" s="19"/>
      <c r="D16" s="20"/>
      <c r="E16" s="20"/>
      <c r="F16" s="20"/>
      <c r="G16" s="20"/>
      <c r="H16" s="20"/>
      <c r="I16" s="20"/>
      <c r="J16" s="21"/>
      <c r="K16" s="47"/>
    </row>
    <row r="17" spans="3:14" ht="16.5" thickBot="1" x14ac:dyDescent="0.3">
      <c r="C17" s="23"/>
      <c r="D17" s="137" t="s">
        <v>21</v>
      </c>
      <c r="E17" s="137"/>
      <c r="F17" s="137"/>
      <c r="G17" s="137"/>
      <c r="H17" s="137"/>
      <c r="I17" s="137"/>
      <c r="J17" s="137"/>
      <c r="K17" s="24"/>
    </row>
    <row r="18" spans="3:14" ht="15.75" x14ac:dyDescent="0.25">
      <c r="C18" s="23"/>
      <c r="D18" s="25" t="s">
        <v>5</v>
      </c>
      <c r="E18" s="26">
        <v>646600</v>
      </c>
      <c r="F18" s="26"/>
      <c r="G18" s="27"/>
      <c r="H18" s="28"/>
      <c r="I18" s="26" t="s">
        <v>10</v>
      </c>
      <c r="J18" s="26">
        <v>464400</v>
      </c>
      <c r="K18" s="24"/>
    </row>
    <row r="19" spans="3:14" ht="15.75" x14ac:dyDescent="0.25">
      <c r="C19" s="23"/>
      <c r="D19" s="27" t="s">
        <v>6</v>
      </c>
      <c r="E19" s="29">
        <v>942700</v>
      </c>
      <c r="F19" s="29"/>
      <c r="G19" s="27"/>
      <c r="H19" s="28"/>
      <c r="I19" s="30" t="s">
        <v>15</v>
      </c>
      <c r="J19" s="31">
        <v>114700</v>
      </c>
      <c r="K19" s="24"/>
      <c r="N19" s="126">
        <f>+J19-J8</f>
        <v>-2400</v>
      </c>
    </row>
    <row r="20" spans="3:14" ht="15.75" x14ac:dyDescent="0.25">
      <c r="C20" s="23"/>
      <c r="D20" s="27" t="s">
        <v>11</v>
      </c>
      <c r="E20" s="31">
        <v>1528800</v>
      </c>
      <c r="F20" s="27"/>
      <c r="G20" s="27"/>
      <c r="H20" s="28"/>
      <c r="I20" s="26" t="s">
        <v>16</v>
      </c>
      <c r="J20" s="26">
        <v>579100</v>
      </c>
      <c r="K20" s="24"/>
    </row>
    <row r="21" spans="3:14" ht="15.75" x14ac:dyDescent="0.25">
      <c r="C21" s="23"/>
      <c r="D21" s="27" t="s">
        <v>17</v>
      </c>
      <c r="E21" s="33">
        <v>3118100</v>
      </c>
      <c r="F21" s="27"/>
      <c r="G21" s="34"/>
      <c r="H21" s="28"/>
      <c r="I21" s="35"/>
      <c r="J21" s="33"/>
      <c r="K21" s="24"/>
    </row>
    <row r="22" spans="3:14" ht="15.75" x14ac:dyDescent="0.25">
      <c r="C22" s="23"/>
      <c r="D22" s="27"/>
      <c r="E22" s="26"/>
      <c r="F22" s="26"/>
      <c r="G22" s="27"/>
      <c r="H22" s="28"/>
      <c r="I22" s="26" t="s">
        <v>8</v>
      </c>
      <c r="J22" s="26">
        <v>2463600</v>
      </c>
      <c r="K22" s="24"/>
      <c r="N22" s="117">
        <f>+J22-J11</f>
        <v>431600</v>
      </c>
    </row>
    <row r="23" spans="3:14" ht="15.75" x14ac:dyDescent="0.25">
      <c r="C23" s="23"/>
      <c r="D23" s="27" t="s">
        <v>9</v>
      </c>
      <c r="E23" s="36">
        <v>5427300</v>
      </c>
      <c r="F23" s="26"/>
      <c r="G23" s="37"/>
      <c r="H23" s="28"/>
      <c r="I23" s="38" t="s">
        <v>18</v>
      </c>
      <c r="J23" s="39">
        <v>5502700</v>
      </c>
      <c r="K23" s="24"/>
    </row>
    <row r="24" spans="3:14" ht="16.5" thickBot="1" x14ac:dyDescent="0.3">
      <c r="C24" s="23"/>
      <c r="D24" s="27" t="s">
        <v>19</v>
      </c>
      <c r="E24" s="40">
        <v>8545400</v>
      </c>
      <c r="F24" s="27"/>
      <c r="G24" s="27"/>
      <c r="H24" s="28"/>
      <c r="I24" s="35" t="s">
        <v>20</v>
      </c>
      <c r="J24" s="41">
        <v>8545400</v>
      </c>
      <c r="K24" s="24"/>
    </row>
    <row r="25" spans="3:14" ht="17.25" thickTop="1" thickBot="1" x14ac:dyDescent="0.3">
      <c r="C25" s="42"/>
      <c r="D25" s="43"/>
      <c r="E25" s="43"/>
      <c r="F25" s="43"/>
      <c r="G25" s="43"/>
      <c r="H25" s="43"/>
      <c r="I25" s="43"/>
      <c r="J25" s="44"/>
      <c r="K25" s="45"/>
    </row>
    <row r="26" spans="3:14" ht="16.5" thickBot="1" x14ac:dyDescent="0.3">
      <c r="C26" s="27"/>
      <c r="D26" s="27"/>
      <c r="E26" s="27"/>
      <c r="F26" s="27"/>
      <c r="G26" s="27"/>
      <c r="H26" s="27"/>
      <c r="I26" s="27"/>
      <c r="J26" s="125"/>
      <c r="K26" s="27"/>
    </row>
    <row r="27" spans="3:14" ht="15.75" x14ac:dyDescent="0.25">
      <c r="C27" s="19"/>
      <c r="D27" s="20"/>
      <c r="E27" s="20"/>
      <c r="F27" s="20"/>
      <c r="G27" s="20"/>
      <c r="H27" s="20"/>
      <c r="I27" s="20"/>
      <c r="J27" s="21"/>
      <c r="K27" s="47"/>
    </row>
    <row r="28" spans="3:14" ht="16.5" thickBot="1" x14ac:dyDescent="0.3">
      <c r="C28" s="23"/>
      <c r="D28" s="137" t="s">
        <v>67</v>
      </c>
      <c r="E28" s="137"/>
      <c r="F28" s="137"/>
      <c r="G28" s="137"/>
      <c r="H28" s="137"/>
      <c r="I28" s="137"/>
      <c r="J28" s="137"/>
      <c r="K28" s="24"/>
    </row>
    <row r="29" spans="3:14" ht="15.75" x14ac:dyDescent="0.25">
      <c r="C29" s="23"/>
      <c r="D29" s="25" t="s">
        <v>5</v>
      </c>
      <c r="E29" s="26">
        <v>653066</v>
      </c>
      <c r="F29" s="26"/>
      <c r="G29" s="27"/>
      <c r="H29" s="28"/>
      <c r="I29" s="26" t="s">
        <v>10</v>
      </c>
      <c r="J29" s="26">
        <v>348300</v>
      </c>
      <c r="K29" s="24"/>
    </row>
    <row r="30" spans="3:14" ht="15.75" x14ac:dyDescent="0.25">
      <c r="C30" s="23"/>
      <c r="D30" s="27" t="s">
        <v>6</v>
      </c>
      <c r="E30" s="123">
        <v>980408</v>
      </c>
      <c r="F30" s="29"/>
      <c r="G30" s="27"/>
      <c r="H30" s="28"/>
      <c r="I30" s="30" t="s">
        <v>15</v>
      </c>
      <c r="J30" s="30">
        <v>113553</v>
      </c>
      <c r="K30" s="24"/>
      <c r="N30" s="126">
        <f>+J30-J19</f>
        <v>-1147</v>
      </c>
    </row>
    <row r="31" spans="3:14" ht="15.75" x14ac:dyDescent="0.25">
      <c r="C31" s="23"/>
      <c r="D31" s="27" t="s">
        <v>11</v>
      </c>
      <c r="E31" s="31">
        <v>1528800</v>
      </c>
      <c r="F31" s="27"/>
      <c r="G31" s="27"/>
      <c r="H31" s="28"/>
      <c r="I31" s="26" t="s">
        <v>69</v>
      </c>
      <c r="J31" s="115">
        <v>20119</v>
      </c>
      <c r="K31" s="24"/>
      <c r="N31" s="128"/>
    </row>
    <row r="32" spans="3:14" ht="15.75" x14ac:dyDescent="0.25">
      <c r="C32" s="23"/>
      <c r="D32" s="27" t="s">
        <v>17</v>
      </c>
      <c r="E32" s="33">
        <v>3162274</v>
      </c>
      <c r="F32" s="27"/>
      <c r="G32" s="34"/>
      <c r="H32" s="28"/>
      <c r="I32" s="35" t="s">
        <v>16</v>
      </c>
      <c r="J32" s="33">
        <v>481972</v>
      </c>
      <c r="K32" s="24"/>
    </row>
    <row r="33" spans="3:15" ht="15.75" x14ac:dyDescent="0.25">
      <c r="C33" s="23"/>
      <c r="D33" s="27"/>
      <c r="E33" s="26"/>
      <c r="F33" s="26"/>
      <c r="G33" s="27"/>
      <c r="H33" s="28"/>
      <c r="I33" s="26" t="s">
        <v>8</v>
      </c>
      <c r="J33" s="123">
        <v>2414328</v>
      </c>
      <c r="K33" s="24"/>
      <c r="N33" s="117">
        <f>+J33-J22</f>
        <v>-49272</v>
      </c>
    </row>
    <row r="34" spans="3:15" ht="15.75" x14ac:dyDescent="0.25">
      <c r="C34" s="23"/>
      <c r="D34" s="27" t="s">
        <v>9</v>
      </c>
      <c r="E34" s="115">
        <v>5427300</v>
      </c>
      <c r="F34" s="26"/>
      <c r="G34" s="37"/>
      <c r="H34" s="28"/>
      <c r="I34" s="38" t="s">
        <v>18</v>
      </c>
      <c r="J34" s="115">
        <v>5693273.8119999999</v>
      </c>
      <c r="K34" s="24"/>
    </row>
    <row r="35" spans="3:15" ht="16.5" thickBot="1" x14ac:dyDescent="0.3">
      <c r="C35" s="23"/>
      <c r="D35" s="27" t="s">
        <v>19</v>
      </c>
      <c r="E35" s="40">
        <v>8589574</v>
      </c>
      <c r="F35" s="27"/>
      <c r="G35" s="27"/>
      <c r="H35" s="28"/>
      <c r="I35" s="35" t="s">
        <v>20</v>
      </c>
      <c r="J35" s="41">
        <v>8589573.811999999</v>
      </c>
      <c r="K35" s="24"/>
    </row>
    <row r="36" spans="3:15" ht="16.5" thickTop="1" x14ac:dyDescent="0.25">
      <c r="C36" s="23"/>
      <c r="D36" s="27"/>
      <c r="E36" s="33"/>
      <c r="F36" s="27"/>
      <c r="G36" s="27"/>
      <c r="H36" s="28"/>
      <c r="I36" s="35"/>
      <c r="J36" s="33"/>
      <c r="K36" s="24"/>
    </row>
    <row r="37" spans="3:15" ht="16.5" thickBot="1" x14ac:dyDescent="0.3">
      <c r="C37" s="42"/>
      <c r="D37" s="43"/>
      <c r="E37" s="43"/>
      <c r="F37" s="43"/>
      <c r="G37" s="43"/>
      <c r="H37" s="43"/>
      <c r="I37" s="43"/>
      <c r="J37" s="44"/>
      <c r="K37" s="45"/>
    </row>
    <row r="38" spans="3:15" ht="16.5" thickBot="1" x14ac:dyDescent="0.3">
      <c r="G38" s="2"/>
      <c r="H38" s="2"/>
      <c r="I38" s="2"/>
      <c r="J38" s="2"/>
      <c r="K38" s="2"/>
    </row>
    <row r="39" spans="3:15" ht="15.75" x14ac:dyDescent="0.25">
      <c r="C39" s="48"/>
      <c r="D39" s="20"/>
      <c r="E39" s="20"/>
      <c r="F39" s="47"/>
      <c r="G39" s="2"/>
      <c r="H39" s="2"/>
      <c r="I39" s="2"/>
      <c r="J39" s="2"/>
      <c r="K39" s="2"/>
    </row>
    <row r="40" spans="3:15" ht="16.5" thickBot="1" x14ac:dyDescent="0.3">
      <c r="C40" s="49"/>
      <c r="D40" s="137" t="s">
        <v>22</v>
      </c>
      <c r="E40" s="137"/>
      <c r="F40" s="50"/>
      <c r="G40" s="2"/>
      <c r="H40" s="2"/>
      <c r="I40" s="2"/>
      <c r="J40" s="2"/>
      <c r="K40" s="2"/>
    </row>
    <row r="41" spans="3:15" ht="15.75" x14ac:dyDescent="0.25">
      <c r="C41" s="49"/>
      <c r="D41" s="27" t="s">
        <v>0</v>
      </c>
      <c r="E41" s="51">
        <v>1157300</v>
      </c>
      <c r="F41" s="52"/>
      <c r="G41" s="2"/>
      <c r="H41" s="2"/>
      <c r="I41" s="2"/>
      <c r="J41" s="2"/>
      <c r="K41" s="2"/>
    </row>
    <row r="42" spans="3:15" ht="15.75" x14ac:dyDescent="0.25">
      <c r="C42" s="49"/>
      <c r="D42" s="27" t="s">
        <v>23</v>
      </c>
      <c r="E42" s="53">
        <v>397900</v>
      </c>
      <c r="F42" s="54"/>
      <c r="G42" s="2"/>
      <c r="H42" s="2"/>
      <c r="I42" s="2"/>
      <c r="J42" s="2"/>
      <c r="K42" s="2"/>
    </row>
    <row r="43" spans="3:15" ht="15.75" x14ac:dyDescent="0.25">
      <c r="C43" s="49"/>
      <c r="D43" s="27" t="s">
        <v>3</v>
      </c>
      <c r="E43" s="53">
        <v>94600</v>
      </c>
      <c r="F43" s="54"/>
      <c r="G43" s="2"/>
      <c r="H43" s="2"/>
      <c r="I43" s="2"/>
      <c r="J43" s="2"/>
      <c r="K43" s="2"/>
    </row>
    <row r="44" spans="3:15" ht="15.75" x14ac:dyDescent="0.25">
      <c r="C44" s="49"/>
      <c r="D44" s="27" t="s">
        <v>1</v>
      </c>
      <c r="E44" s="55">
        <v>166100</v>
      </c>
      <c r="F44" s="56"/>
      <c r="G44" s="2"/>
      <c r="H44" s="2"/>
      <c r="I44" s="2"/>
      <c r="J44" s="2"/>
      <c r="K44" s="2"/>
    </row>
    <row r="45" spans="3:15" ht="15.75" x14ac:dyDescent="0.25">
      <c r="C45" s="49"/>
      <c r="D45" s="27" t="s">
        <v>24</v>
      </c>
      <c r="E45" s="51">
        <v>498700</v>
      </c>
      <c r="F45" s="24"/>
      <c r="G45" s="2"/>
      <c r="H45" s="2"/>
      <c r="I45" s="2"/>
      <c r="J45" s="2"/>
      <c r="K45" s="2"/>
    </row>
    <row r="46" spans="3:15" ht="15.75" x14ac:dyDescent="0.25">
      <c r="C46" s="49"/>
      <c r="D46" s="27" t="s">
        <v>4</v>
      </c>
      <c r="E46" s="57">
        <v>77600</v>
      </c>
      <c r="F46" s="52"/>
      <c r="G46" s="2"/>
      <c r="H46" s="2"/>
      <c r="I46" s="2"/>
      <c r="J46" s="2"/>
      <c r="K46" s="2"/>
      <c r="O46" s="127">
        <f>+E46/SUM(J8+J11)</f>
        <v>3.6108138290447164E-2</v>
      </c>
    </row>
    <row r="47" spans="3:15" ht="15.75" x14ac:dyDescent="0.25">
      <c r="C47" s="49"/>
      <c r="D47" s="27" t="s">
        <v>25</v>
      </c>
      <c r="E47" s="51">
        <v>421100</v>
      </c>
      <c r="F47" s="52"/>
      <c r="G47" s="2"/>
      <c r="H47" s="2"/>
      <c r="I47" s="2"/>
      <c r="J47" s="2"/>
      <c r="K47" s="2"/>
    </row>
    <row r="48" spans="3:15" ht="15.75" x14ac:dyDescent="0.25">
      <c r="C48" s="49"/>
      <c r="D48" s="58" t="s">
        <v>26</v>
      </c>
      <c r="E48" s="59">
        <v>143174</v>
      </c>
      <c r="F48" s="60"/>
      <c r="G48" s="2"/>
      <c r="H48" s="2"/>
      <c r="I48" s="2"/>
      <c r="J48" s="2"/>
      <c r="K48" s="2"/>
    </row>
    <row r="49" spans="3:15" ht="16.5" thickBot="1" x14ac:dyDescent="0.3">
      <c r="C49" s="49"/>
      <c r="D49" s="27" t="s">
        <v>27</v>
      </c>
      <c r="E49" s="61">
        <v>277926</v>
      </c>
      <c r="F49" s="24"/>
      <c r="G49" s="2"/>
      <c r="H49" s="2"/>
      <c r="I49" s="2"/>
      <c r="J49" s="2"/>
      <c r="K49" s="2"/>
    </row>
    <row r="50" spans="3:15" ht="16.5" thickTop="1" x14ac:dyDescent="0.25">
      <c r="C50" s="49"/>
      <c r="D50" s="27" t="s">
        <v>12</v>
      </c>
      <c r="E50" s="62">
        <v>141100</v>
      </c>
      <c r="F50" s="24"/>
      <c r="G50" s="2"/>
      <c r="H50" s="2"/>
      <c r="I50" s="2"/>
      <c r="J50" s="2"/>
      <c r="K50" s="2"/>
    </row>
    <row r="51" spans="3:15" ht="15.75" x14ac:dyDescent="0.25">
      <c r="C51" s="49"/>
      <c r="D51" s="27" t="s">
        <v>28</v>
      </c>
      <c r="E51" s="63">
        <v>136826</v>
      </c>
      <c r="F51" s="24"/>
      <c r="G51" s="2"/>
      <c r="H51" s="2"/>
      <c r="I51" s="2"/>
      <c r="J51" s="2"/>
      <c r="K51" s="2"/>
    </row>
    <row r="52" spans="3:15" ht="16.5" thickBot="1" x14ac:dyDescent="0.3">
      <c r="C52" s="64"/>
      <c r="D52" s="65"/>
      <c r="E52" s="66"/>
      <c r="F52" s="67"/>
      <c r="G52" s="2"/>
      <c r="H52" s="2"/>
      <c r="I52" s="2"/>
      <c r="J52" s="2"/>
      <c r="K52" s="2"/>
    </row>
    <row r="54" spans="3:15" ht="15.75" thickBot="1" x14ac:dyDescent="0.3"/>
    <row r="55" spans="3:15" ht="15.75" x14ac:dyDescent="0.25">
      <c r="C55" s="48"/>
      <c r="D55" s="20"/>
      <c r="E55" s="20"/>
      <c r="F55" s="47"/>
    </row>
    <row r="56" spans="3:15" ht="16.5" thickBot="1" x14ac:dyDescent="0.3">
      <c r="C56" s="49"/>
      <c r="D56" s="137" t="s">
        <v>29</v>
      </c>
      <c r="E56" s="137"/>
      <c r="F56" s="50"/>
    </row>
    <row r="57" spans="3:15" ht="15.75" x14ac:dyDescent="0.25">
      <c r="C57" s="49"/>
      <c r="D57" s="27" t="s">
        <v>0</v>
      </c>
      <c r="E57" s="51">
        <v>1293600</v>
      </c>
      <c r="F57" s="52"/>
    </row>
    <row r="58" spans="3:15" ht="15.75" x14ac:dyDescent="0.25">
      <c r="C58" s="49"/>
      <c r="D58" s="27" t="s">
        <v>23</v>
      </c>
      <c r="E58" s="53">
        <v>470700</v>
      </c>
      <c r="F58" s="54"/>
    </row>
    <row r="59" spans="3:15" ht="15.75" x14ac:dyDescent="0.25">
      <c r="C59" s="49"/>
      <c r="D59" s="27" t="s">
        <v>3</v>
      </c>
      <c r="E59" s="53">
        <v>82400</v>
      </c>
      <c r="F59" s="54"/>
    </row>
    <row r="60" spans="3:15" ht="15.75" x14ac:dyDescent="0.25">
      <c r="C60" s="49"/>
      <c r="D60" s="27" t="s">
        <v>1</v>
      </c>
      <c r="E60" s="55">
        <v>173600</v>
      </c>
      <c r="F60" s="56"/>
    </row>
    <row r="61" spans="3:15" ht="15.75" x14ac:dyDescent="0.25">
      <c r="C61" s="49"/>
      <c r="D61" s="27" t="s">
        <v>24</v>
      </c>
      <c r="E61" s="51">
        <v>566900</v>
      </c>
      <c r="F61" s="24"/>
    </row>
    <row r="62" spans="3:15" ht="15.75" x14ac:dyDescent="0.25">
      <c r="C62" s="49"/>
      <c r="D62" s="27" t="s">
        <v>4</v>
      </c>
      <c r="E62" s="57">
        <v>92600</v>
      </c>
      <c r="F62" s="52"/>
      <c r="I62" s="124">
        <f>+E62-E46</f>
        <v>15000</v>
      </c>
      <c r="K62" s="127">
        <f>+I62/SUM(N19:N22)</f>
        <v>3.494874184529357E-2</v>
      </c>
      <c r="O62" s="127">
        <f>+E62/SUM(J19+J22)</f>
        <v>3.5915137881549861E-2</v>
      </c>
    </row>
    <row r="63" spans="3:15" ht="15.75" x14ac:dyDescent="0.25">
      <c r="C63" s="49"/>
      <c r="D63" s="27" t="s">
        <v>25</v>
      </c>
      <c r="E63" s="51">
        <v>474300</v>
      </c>
      <c r="F63" s="52"/>
    </row>
    <row r="64" spans="3:15" ht="15.75" x14ac:dyDescent="0.25">
      <c r="C64" s="49"/>
      <c r="D64" s="58" t="s">
        <v>26</v>
      </c>
      <c r="E64" s="59">
        <v>161262</v>
      </c>
      <c r="F64" s="60"/>
    </row>
    <row r="65" spans="3:15" ht="16.5" thickBot="1" x14ac:dyDescent="0.3">
      <c r="C65" s="49"/>
      <c r="D65" s="27" t="s">
        <v>27</v>
      </c>
      <c r="E65" s="61">
        <v>313038</v>
      </c>
      <c r="F65" s="24"/>
    </row>
    <row r="66" spans="3:15" ht="16.5" thickTop="1" x14ac:dyDescent="0.25">
      <c r="C66" s="49"/>
      <c r="D66" s="27" t="s">
        <v>12</v>
      </c>
      <c r="E66" s="62">
        <v>161800</v>
      </c>
      <c r="F66" s="24"/>
    </row>
    <row r="67" spans="3:15" ht="15.75" x14ac:dyDescent="0.25">
      <c r="C67" s="49"/>
      <c r="D67" s="27" t="s">
        <v>28</v>
      </c>
      <c r="E67" s="63">
        <v>151238</v>
      </c>
      <c r="F67" s="24"/>
    </row>
    <row r="68" spans="3:15" ht="16.5" thickBot="1" x14ac:dyDescent="0.3">
      <c r="C68" s="64"/>
      <c r="D68" s="65"/>
      <c r="E68" s="66"/>
      <c r="F68" s="67"/>
    </row>
    <row r="69" spans="3:15" ht="15.75" thickBot="1" x14ac:dyDescent="0.3"/>
    <row r="70" spans="3:15" ht="15.75" x14ac:dyDescent="0.25">
      <c r="C70" s="48"/>
      <c r="D70" s="20"/>
      <c r="E70" s="20"/>
      <c r="F70" s="47"/>
    </row>
    <row r="71" spans="3:15" ht="16.5" thickBot="1" x14ac:dyDescent="0.3">
      <c r="C71" s="49"/>
      <c r="D71" s="137" t="s">
        <v>68</v>
      </c>
      <c r="E71" s="137"/>
      <c r="F71" s="50"/>
    </row>
    <row r="72" spans="3:15" ht="15.75" x14ac:dyDescent="0.25">
      <c r="C72" s="49"/>
      <c r="D72" s="27" t="s">
        <v>0</v>
      </c>
      <c r="E72" s="26">
        <v>1422960</v>
      </c>
      <c r="F72" s="52"/>
    </row>
    <row r="73" spans="3:15" ht="15.75" x14ac:dyDescent="0.25">
      <c r="C73" s="49"/>
      <c r="D73" s="27" t="s">
        <v>23</v>
      </c>
      <c r="E73" s="29">
        <v>498035.99999999994</v>
      </c>
      <c r="F73" s="54"/>
    </row>
    <row r="74" spans="3:15" ht="15.75" x14ac:dyDescent="0.25">
      <c r="C74" s="49"/>
      <c r="D74" s="27" t="s">
        <v>3</v>
      </c>
      <c r="E74" s="29">
        <v>85377.599999999991</v>
      </c>
      <c r="F74" s="54"/>
    </row>
    <row r="75" spans="3:15" ht="15.75" x14ac:dyDescent="0.25">
      <c r="C75" s="49"/>
      <c r="D75" s="27" t="s">
        <v>1</v>
      </c>
      <c r="E75" s="113">
        <v>173600</v>
      </c>
      <c r="F75" s="56"/>
    </row>
    <row r="76" spans="3:15" ht="15.75" x14ac:dyDescent="0.25">
      <c r="C76" s="49"/>
      <c r="D76" s="27" t="s">
        <v>24</v>
      </c>
      <c r="E76" s="26">
        <v>665946.4</v>
      </c>
      <c r="F76" s="24"/>
    </row>
    <row r="77" spans="3:15" ht="15.75" x14ac:dyDescent="0.25">
      <c r="C77" s="49"/>
      <c r="D77" s="27" t="s">
        <v>4</v>
      </c>
      <c r="E77" s="115">
        <v>88450</v>
      </c>
      <c r="F77" s="52"/>
      <c r="I77" s="124">
        <f>+E77-E62</f>
        <v>-4150</v>
      </c>
      <c r="K77" s="127">
        <f>+I77/SUM(N30:N33)</f>
        <v>8.2310240187231001E-2</v>
      </c>
      <c r="O77" s="127">
        <f>+E77/SUM(J30+J33)</f>
        <v>3.4989779977775852E-2</v>
      </c>
    </row>
    <row r="78" spans="3:15" ht="15.75" x14ac:dyDescent="0.25">
      <c r="C78" s="49"/>
      <c r="D78" s="27" t="s">
        <v>25</v>
      </c>
      <c r="E78" s="26">
        <v>577496.4</v>
      </c>
      <c r="F78" s="52"/>
    </row>
    <row r="79" spans="3:15" ht="15.75" x14ac:dyDescent="0.25">
      <c r="C79" s="49"/>
      <c r="D79" s="58" t="s">
        <v>26</v>
      </c>
      <c r="E79" s="114">
        <v>196348.77600000001</v>
      </c>
      <c r="F79" s="60"/>
    </row>
    <row r="80" spans="3:15" ht="16.5" thickBot="1" x14ac:dyDescent="0.3">
      <c r="C80" s="49"/>
      <c r="D80" s="27" t="s">
        <v>27</v>
      </c>
      <c r="E80" s="116">
        <v>381147.62400000001</v>
      </c>
      <c r="F80" s="24"/>
    </row>
    <row r="81" spans="3:6" ht="16.5" thickTop="1" x14ac:dyDescent="0.25">
      <c r="C81" s="49"/>
      <c r="D81" s="27" t="s">
        <v>12</v>
      </c>
      <c r="E81" s="26">
        <v>190573.81200000001</v>
      </c>
      <c r="F81" s="24"/>
    </row>
    <row r="82" spans="3:6" ht="30.75" x14ac:dyDescent="0.25">
      <c r="C82" s="49"/>
      <c r="D82" s="34" t="s">
        <v>28</v>
      </c>
      <c r="E82" s="26">
        <v>190573.81200000001</v>
      </c>
      <c r="F82" s="24"/>
    </row>
    <row r="83" spans="3:6" ht="16.5" thickBot="1" x14ac:dyDescent="0.3">
      <c r="C83" s="64"/>
      <c r="D83" s="65"/>
      <c r="E83" s="66"/>
      <c r="F83" s="67"/>
    </row>
  </sheetData>
  <mergeCells count="6">
    <mergeCell ref="D56:E56"/>
    <mergeCell ref="D71:E71"/>
    <mergeCell ref="D28:J28"/>
    <mergeCell ref="D6:J6"/>
    <mergeCell ref="D17:J17"/>
    <mergeCell ref="D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6" sqref="A6:XFD6"/>
    </sheetView>
  </sheetViews>
  <sheetFormatPr defaultRowHeight="15" x14ac:dyDescent="0.25"/>
  <sheetData>
    <row r="2" spans="1:2" x14ac:dyDescent="0.25">
      <c r="A2" s="83">
        <v>1</v>
      </c>
      <c r="B2" t="s">
        <v>35</v>
      </c>
    </row>
    <row r="3" spans="1:2" x14ac:dyDescent="0.25">
      <c r="A3" s="83">
        <v>2</v>
      </c>
      <c r="B3" t="s">
        <v>36</v>
      </c>
    </row>
    <row r="4" spans="1:2" x14ac:dyDescent="0.25">
      <c r="A4" s="83">
        <v>3</v>
      </c>
      <c r="B4" t="s">
        <v>37</v>
      </c>
    </row>
    <row r="5" spans="1:2" x14ac:dyDescent="0.25">
      <c r="A5" s="83">
        <v>4</v>
      </c>
      <c r="B5" t="s">
        <v>38</v>
      </c>
    </row>
    <row r="7" spans="1:2" x14ac:dyDescent="0.25">
      <c r="A7" s="82" t="s">
        <v>40</v>
      </c>
      <c r="B7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D21" sqref="D21"/>
    </sheetView>
  </sheetViews>
  <sheetFormatPr defaultRowHeight="15" x14ac:dyDescent="0.25"/>
  <cols>
    <col min="1" max="1" width="43.5703125" customWidth="1"/>
    <col min="2" max="2" width="29.42578125" customWidth="1"/>
  </cols>
  <sheetData>
    <row r="2" spans="1:2" x14ac:dyDescent="0.25">
      <c r="A2" t="s">
        <v>84</v>
      </c>
    </row>
    <row r="4" spans="1:2" x14ac:dyDescent="0.25">
      <c r="A4" t="s">
        <v>52</v>
      </c>
    </row>
    <row r="6" spans="1:2" x14ac:dyDescent="0.25">
      <c r="A6" s="103" t="s">
        <v>53</v>
      </c>
      <c r="B6" s="104"/>
    </row>
    <row r="7" spans="1:2" x14ac:dyDescent="0.25">
      <c r="A7" s="105" t="s">
        <v>54</v>
      </c>
      <c r="B7" s="106">
        <v>0.1</v>
      </c>
    </row>
    <row r="8" spans="1:2" x14ac:dyDescent="0.25">
      <c r="A8" s="105" t="s">
        <v>55</v>
      </c>
      <c r="B8" s="106">
        <v>0.35</v>
      </c>
    </row>
    <row r="9" spans="1:2" x14ac:dyDescent="0.25">
      <c r="A9" s="105" t="s">
        <v>56</v>
      </c>
      <c r="B9" s="106">
        <v>0.06</v>
      </c>
    </row>
    <row r="10" spans="1:2" x14ac:dyDescent="0.25">
      <c r="A10" s="105" t="s">
        <v>1</v>
      </c>
      <c r="B10" s="107">
        <v>182000</v>
      </c>
    </row>
    <row r="11" spans="1:2" x14ac:dyDescent="0.25">
      <c r="A11" s="105" t="s">
        <v>4</v>
      </c>
      <c r="B11" s="107">
        <v>88450</v>
      </c>
    </row>
    <row r="12" spans="1:2" x14ac:dyDescent="0.25">
      <c r="A12" s="105" t="s">
        <v>26</v>
      </c>
      <c r="B12" s="106">
        <v>0.34</v>
      </c>
    </row>
    <row r="13" spans="1:2" x14ac:dyDescent="0.25">
      <c r="A13" s="108" t="s">
        <v>58</v>
      </c>
      <c r="B13" s="109">
        <v>0.5</v>
      </c>
    </row>
    <row r="15" spans="1:2" x14ac:dyDescent="0.25">
      <c r="A15" s="103" t="s">
        <v>59</v>
      </c>
      <c r="B15" s="104"/>
    </row>
    <row r="16" spans="1:2" x14ac:dyDescent="0.25">
      <c r="A16" s="105" t="s">
        <v>5</v>
      </c>
      <c r="B16" s="110" t="s">
        <v>60</v>
      </c>
    </row>
    <row r="17" spans="1:2" x14ac:dyDescent="0.25">
      <c r="A17" s="105" t="s">
        <v>6</v>
      </c>
      <c r="B17" s="110" t="s">
        <v>61</v>
      </c>
    </row>
    <row r="18" spans="1:2" x14ac:dyDescent="0.25">
      <c r="A18" s="105" t="s">
        <v>11</v>
      </c>
      <c r="B18" s="110" t="s">
        <v>57</v>
      </c>
    </row>
    <row r="19" spans="1:2" x14ac:dyDescent="0.25">
      <c r="A19" s="105" t="s">
        <v>9</v>
      </c>
      <c r="B19" s="110" t="s">
        <v>57</v>
      </c>
    </row>
    <row r="20" spans="1:2" x14ac:dyDescent="0.25">
      <c r="A20" s="105" t="s">
        <v>10</v>
      </c>
      <c r="B20" s="110" t="s">
        <v>62</v>
      </c>
    </row>
    <row r="21" spans="1:2" x14ac:dyDescent="0.25">
      <c r="A21" s="105" t="s">
        <v>15</v>
      </c>
      <c r="B21" s="110" t="s">
        <v>63</v>
      </c>
    </row>
    <row r="22" spans="1:2" x14ac:dyDescent="0.25">
      <c r="A22" s="111" t="s">
        <v>8</v>
      </c>
      <c r="B22" s="112" t="s">
        <v>64</v>
      </c>
    </row>
    <row r="23" spans="1:2" x14ac:dyDescent="0.25">
      <c r="B23" s="83"/>
    </row>
    <row r="25" spans="1:2" x14ac:dyDescent="0.25">
      <c r="A25" t="s">
        <v>65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98" zoomScaleNormal="98" workbookViewId="0">
      <selection activeCell="H79" sqref="H79"/>
    </sheetView>
  </sheetViews>
  <sheetFormatPr defaultRowHeight="15" x14ac:dyDescent="0.25"/>
  <cols>
    <col min="1" max="1" width="9.42578125" customWidth="1"/>
    <col min="2" max="2" width="22" customWidth="1"/>
    <col min="3" max="3" width="13.85546875" style="85" customWidth="1"/>
    <col min="4" max="4" width="5.5703125" customWidth="1"/>
    <col min="5" max="5" width="16.7109375" customWidth="1"/>
    <col min="6" max="6" width="4.140625" customWidth="1"/>
    <col min="7" max="7" width="19.7109375" customWidth="1"/>
    <col min="8" max="8" width="13.42578125" style="85" customWidth="1"/>
    <col min="13" max="13" width="20.7109375" customWidth="1"/>
    <col min="14" max="14" width="19.5703125" bestFit="1" customWidth="1"/>
    <col min="15" max="15" width="3.140625" customWidth="1"/>
    <col min="16" max="16" width="3.5703125" customWidth="1"/>
    <col min="17" max="17" width="2.140625" customWidth="1"/>
    <col min="18" max="18" width="22.85546875" customWidth="1"/>
    <col min="19" max="19" width="14.140625" customWidth="1"/>
    <col min="21" max="21" width="17.7109375" customWidth="1"/>
    <col min="22" max="22" width="1" customWidth="1"/>
    <col min="23" max="23" width="24.7109375" customWidth="1"/>
    <col min="24" max="24" width="17.7109375" customWidth="1"/>
    <col min="25" max="25" width="1.7109375" customWidth="1"/>
    <col min="26" max="26" width="2.28515625" customWidth="1"/>
    <col min="27" max="27" width="0.85546875" customWidth="1"/>
    <col min="28" max="28" width="22" customWidth="1"/>
    <col min="29" max="29" width="14.28515625" bestFit="1" customWidth="1"/>
  </cols>
  <sheetData>
    <row r="1" spans="1:20" x14ac:dyDescent="0.25">
      <c r="L1" s="84"/>
      <c r="M1" s="84"/>
      <c r="N1" s="84"/>
      <c r="O1" s="84"/>
    </row>
    <row r="2" spans="1:20" x14ac:dyDescent="0.25">
      <c r="A2" s="84" t="s">
        <v>41</v>
      </c>
      <c r="L2" s="84" t="s">
        <v>66</v>
      </c>
      <c r="M2" s="84"/>
      <c r="N2" s="84"/>
      <c r="O2" s="84"/>
    </row>
    <row r="4" spans="1:20" ht="15.75" thickBot="1" x14ac:dyDescent="0.3">
      <c r="A4" s="84"/>
    </row>
    <row r="5" spans="1:20" ht="15.75" x14ac:dyDescent="0.25">
      <c r="A5" s="19"/>
      <c r="B5" s="20"/>
      <c r="C5" s="86"/>
      <c r="D5" s="20"/>
      <c r="E5" s="20"/>
      <c r="F5" s="20"/>
      <c r="G5" s="20"/>
      <c r="H5" s="86"/>
      <c r="I5" s="22"/>
      <c r="L5" s="19"/>
      <c r="M5" s="20"/>
      <c r="N5" s="20"/>
      <c r="O5" s="20"/>
      <c r="P5" s="20"/>
      <c r="Q5" s="20"/>
      <c r="R5" s="20"/>
      <c r="S5" s="21"/>
      <c r="T5" s="47"/>
    </row>
    <row r="6" spans="1:20" ht="16.5" thickBot="1" x14ac:dyDescent="0.3">
      <c r="A6" s="23"/>
      <c r="B6" s="137" t="s">
        <v>14</v>
      </c>
      <c r="C6" s="137"/>
      <c r="D6" s="137"/>
      <c r="E6" s="137"/>
      <c r="F6" s="137"/>
      <c r="G6" s="137"/>
      <c r="H6" s="137"/>
      <c r="I6" s="24"/>
      <c r="L6" s="23"/>
      <c r="M6" s="137" t="s">
        <v>67</v>
      </c>
      <c r="N6" s="137"/>
      <c r="O6" s="137"/>
      <c r="P6" s="137"/>
      <c r="Q6" s="137"/>
      <c r="R6" s="137"/>
      <c r="S6" s="137"/>
      <c r="T6" s="24"/>
    </row>
    <row r="7" spans="1:20" ht="15.75" x14ac:dyDescent="0.25">
      <c r="A7" s="23"/>
      <c r="B7" s="25" t="s">
        <v>5</v>
      </c>
      <c r="C7" s="87">
        <f>+Financials!D27/Financials!$D$33</f>
        <v>7.6533959027147033E-2</v>
      </c>
      <c r="D7" s="26"/>
      <c r="E7" s="27"/>
      <c r="F7" s="28"/>
      <c r="G7" s="26" t="s">
        <v>10</v>
      </c>
      <c r="H7" s="87">
        <f>+Financials!I27/Financials!$D$33</f>
        <v>5.5303259662932688E-2</v>
      </c>
      <c r="I7" s="24"/>
      <c r="L7" s="23"/>
      <c r="M7" s="25" t="s">
        <v>5</v>
      </c>
      <c r="N7" s="26">
        <f>+Financials!D38*1.01</f>
        <v>653066</v>
      </c>
      <c r="O7" s="26"/>
      <c r="P7" s="27"/>
      <c r="Q7" s="28"/>
      <c r="R7" s="26" t="s">
        <v>10</v>
      </c>
      <c r="S7" s="26">
        <f>+Financials!I38*0.75</f>
        <v>348300</v>
      </c>
      <c r="T7" s="24"/>
    </row>
    <row r="8" spans="1:20" ht="15.75" x14ac:dyDescent="0.25">
      <c r="A8" s="23"/>
      <c r="B8" s="27" t="s">
        <v>6</v>
      </c>
      <c r="C8" s="87">
        <f>+Financials!D28/Financials!$D$33</f>
        <v>0.10134726006660612</v>
      </c>
      <c r="D8" s="29"/>
      <c r="E8" s="27"/>
      <c r="F8" s="28"/>
      <c r="G8" s="30" t="s">
        <v>15</v>
      </c>
      <c r="H8" s="88">
        <f>+Financials!I28/Financials!$D$33</f>
        <v>1.4771924513068926E-2</v>
      </c>
      <c r="I8" s="24"/>
      <c r="L8" s="23"/>
      <c r="M8" s="27" t="s">
        <v>6</v>
      </c>
      <c r="N8" s="123">
        <f>+Financials!D39*1.04</f>
        <v>980408</v>
      </c>
      <c r="O8" s="29"/>
      <c r="P8" s="27"/>
      <c r="Q8" s="28"/>
      <c r="R8" s="30" t="s">
        <v>15</v>
      </c>
      <c r="S8" s="30">
        <f>+Financials!I39*0.99</f>
        <v>113553</v>
      </c>
      <c r="T8" s="24"/>
    </row>
    <row r="9" spans="1:20" ht="15.75" x14ac:dyDescent="0.25">
      <c r="A9" s="23"/>
      <c r="B9" s="27" t="s">
        <v>11</v>
      </c>
      <c r="C9" s="88">
        <f>+Financials!D29/Financials!$D$33</f>
        <v>0.18017711171662126</v>
      </c>
      <c r="D9" s="27"/>
      <c r="E9" s="27"/>
      <c r="F9" s="28"/>
      <c r="G9" s="26" t="s">
        <v>16</v>
      </c>
      <c r="H9" s="87">
        <f>H7+H8</f>
        <v>7.0075184176001615E-2</v>
      </c>
      <c r="I9" s="24"/>
      <c r="L9" s="23"/>
      <c r="M9" s="27" t="s">
        <v>11</v>
      </c>
      <c r="N9" s="31">
        <f>+Financials!D40</f>
        <v>1528800</v>
      </c>
      <c r="O9" s="27"/>
      <c r="P9" s="27"/>
      <c r="Q9" s="28"/>
      <c r="R9" s="26" t="s">
        <v>69</v>
      </c>
      <c r="S9" s="115">
        <v>22891</v>
      </c>
      <c r="T9" s="24"/>
    </row>
    <row r="10" spans="1:20" ht="15.75" x14ac:dyDescent="0.25">
      <c r="A10" s="23"/>
      <c r="B10" s="27" t="s">
        <v>17</v>
      </c>
      <c r="C10" s="87">
        <f>C7+C8+C9</f>
        <v>0.35805833081037441</v>
      </c>
      <c r="D10" s="27"/>
      <c r="E10" s="34"/>
      <c r="F10" s="28"/>
      <c r="G10" s="35"/>
      <c r="H10" s="87"/>
      <c r="I10" s="24"/>
      <c r="L10" s="23"/>
      <c r="M10" s="27" t="s">
        <v>17</v>
      </c>
      <c r="N10" s="33">
        <f>N7+N8+N9</f>
        <v>3162274</v>
      </c>
      <c r="O10" s="27"/>
      <c r="P10" s="34"/>
      <c r="Q10" s="28"/>
      <c r="R10" s="35" t="s">
        <v>16</v>
      </c>
      <c r="S10" s="33">
        <f>+SUM(S7:S9)</f>
        <v>484744</v>
      </c>
      <c r="T10" s="24"/>
    </row>
    <row r="11" spans="1:20" ht="15.75" x14ac:dyDescent="0.25">
      <c r="A11" s="23"/>
      <c r="B11" s="27"/>
      <c r="C11" s="87"/>
      <c r="D11" s="26"/>
      <c r="E11" s="27"/>
      <c r="F11" s="28"/>
      <c r="G11" s="26" t="s">
        <v>8</v>
      </c>
      <c r="H11" s="87">
        <f>+Financials!I31/Financials!$D$33</f>
        <v>0.25633262690483399</v>
      </c>
      <c r="I11" s="24"/>
      <c r="L11" s="23"/>
      <c r="M11" s="27"/>
      <c r="N11" s="26"/>
      <c r="O11" s="26"/>
      <c r="P11" s="27"/>
      <c r="Q11" s="28"/>
      <c r="R11" s="26" t="s">
        <v>8</v>
      </c>
      <c r="S11" s="123">
        <f>+Financials!I42*0.98</f>
        <v>2414328</v>
      </c>
      <c r="T11" s="24"/>
    </row>
    <row r="12" spans="1:20" ht="15.75" x14ac:dyDescent="0.25">
      <c r="A12" s="23"/>
      <c r="B12" s="27" t="s">
        <v>9</v>
      </c>
      <c r="C12" s="88">
        <f>+Financials!D32/Financials!$D$33</f>
        <v>0.64194166918962559</v>
      </c>
      <c r="D12" s="26"/>
      <c r="E12" s="37"/>
      <c r="F12" s="28"/>
      <c r="G12" s="38" t="s">
        <v>18</v>
      </c>
      <c r="H12" s="88">
        <f>+Financials!I32/Financials!$D$33</f>
        <v>0.67359218891916439</v>
      </c>
      <c r="I12" s="24"/>
      <c r="L12" s="23"/>
      <c r="M12" s="27" t="s">
        <v>9</v>
      </c>
      <c r="N12" s="115">
        <f>+Financials!D43</f>
        <v>5427300</v>
      </c>
      <c r="O12" s="26"/>
      <c r="P12" s="37"/>
      <c r="Q12" s="28"/>
      <c r="R12" s="38" t="s">
        <v>18</v>
      </c>
      <c r="S12" s="115">
        <f>+Financials!I43+Results!N30</f>
        <v>5690501.8119999999</v>
      </c>
      <c r="T12" s="24"/>
    </row>
    <row r="13" spans="1:20" ht="16.5" thickBot="1" x14ac:dyDescent="0.3">
      <c r="A13" s="23"/>
      <c r="B13" s="27" t="s">
        <v>19</v>
      </c>
      <c r="C13" s="89">
        <f>C10+C12</f>
        <v>1</v>
      </c>
      <c r="D13" s="27"/>
      <c r="E13" s="27"/>
      <c r="F13" s="28"/>
      <c r="G13" s="35" t="s">
        <v>20</v>
      </c>
      <c r="H13" s="91">
        <f>C13</f>
        <v>1</v>
      </c>
      <c r="I13" s="24"/>
      <c r="L13" s="23"/>
      <c r="M13" s="27" t="s">
        <v>19</v>
      </c>
      <c r="N13" s="40">
        <f>N10+N12</f>
        <v>8589574</v>
      </c>
      <c r="O13" s="27"/>
      <c r="P13" s="27"/>
      <c r="Q13" s="28"/>
      <c r="R13" s="35" t="s">
        <v>20</v>
      </c>
      <c r="S13" s="41">
        <f>+SUM(S10:S12)</f>
        <v>8589573.811999999</v>
      </c>
      <c r="T13" s="24"/>
    </row>
    <row r="14" spans="1:20" ht="16.5" thickTop="1" x14ac:dyDescent="0.25">
      <c r="A14" s="23"/>
      <c r="B14" s="27"/>
      <c r="C14" s="87"/>
      <c r="D14" s="27"/>
      <c r="E14" s="27"/>
      <c r="F14" s="28"/>
      <c r="G14" s="35"/>
      <c r="H14" s="87"/>
      <c r="I14" s="24"/>
      <c r="L14" s="23"/>
      <c r="M14" s="27"/>
      <c r="N14" s="33"/>
      <c r="O14" s="27"/>
      <c r="P14" s="27"/>
      <c r="Q14" s="28"/>
      <c r="R14" s="35"/>
      <c r="S14" s="33"/>
      <c r="T14" s="24"/>
    </row>
    <row r="15" spans="1:20" ht="16.5" thickBot="1" x14ac:dyDescent="0.3">
      <c r="A15" s="42"/>
      <c r="B15" s="43"/>
      <c r="C15" s="90"/>
      <c r="D15" s="43"/>
      <c r="E15" s="43"/>
      <c r="F15" s="43"/>
      <c r="G15" s="43"/>
      <c r="H15" s="92"/>
      <c r="I15" s="45"/>
      <c r="L15" s="42"/>
      <c r="M15" s="43"/>
      <c r="N15" s="43"/>
      <c r="O15" s="43"/>
      <c r="P15" s="43"/>
      <c r="Q15" s="43"/>
      <c r="R15" s="43"/>
      <c r="S15" s="44"/>
      <c r="T15" s="45"/>
    </row>
    <row r="16" spans="1:20" ht="15.75" thickBot="1" x14ac:dyDescent="0.3"/>
    <row r="17" spans="1:15" ht="16.5" thickBot="1" x14ac:dyDescent="0.3">
      <c r="A17" s="19"/>
      <c r="B17" s="20"/>
      <c r="C17" s="86"/>
      <c r="D17" s="20"/>
      <c r="E17" s="20"/>
      <c r="F17" s="20"/>
      <c r="G17" s="20"/>
      <c r="H17" s="86"/>
      <c r="I17" s="22"/>
    </row>
    <row r="18" spans="1:15" ht="16.5" thickBot="1" x14ac:dyDescent="0.3">
      <c r="A18" s="23"/>
      <c r="B18" s="137" t="s">
        <v>21</v>
      </c>
      <c r="C18" s="137"/>
      <c r="D18" s="137"/>
      <c r="E18" s="137"/>
      <c r="F18" s="137"/>
      <c r="G18" s="137"/>
      <c r="H18" s="137"/>
      <c r="I18" s="24"/>
      <c r="L18" s="48"/>
      <c r="M18" s="20"/>
      <c r="N18" s="20"/>
      <c r="O18" s="47"/>
    </row>
    <row r="19" spans="1:15" ht="16.5" thickBot="1" x14ac:dyDescent="0.3">
      <c r="A19" s="23"/>
      <c r="B19" s="25" t="s">
        <v>5</v>
      </c>
      <c r="C19" s="87">
        <f>+Financials!D38/Financials!$D$44</f>
        <v>7.5666440424087808E-2</v>
      </c>
      <c r="D19" s="26"/>
      <c r="E19" s="27"/>
      <c r="F19" s="28"/>
      <c r="G19" s="26" t="s">
        <v>10</v>
      </c>
      <c r="H19" s="87">
        <f>+Financials!I38/Financials!$D$44</f>
        <v>5.4345027734219578E-2</v>
      </c>
      <c r="I19" s="24"/>
      <c r="L19" s="49"/>
      <c r="M19" s="137" t="s">
        <v>68</v>
      </c>
      <c r="N19" s="137"/>
      <c r="O19" s="50"/>
    </row>
    <row r="20" spans="1:15" ht="15.75" x14ac:dyDescent="0.25">
      <c r="A20" s="23"/>
      <c r="B20" s="27" t="s">
        <v>6</v>
      </c>
      <c r="C20" s="87">
        <f>+Financials!D39/Financials!$D$44</f>
        <v>0.11031666159571231</v>
      </c>
      <c r="D20" s="29"/>
      <c r="E20" s="27"/>
      <c r="F20" s="28"/>
      <c r="G20" s="30" t="s">
        <v>15</v>
      </c>
      <c r="H20" s="88">
        <f>+Financials!I39/Financials!$D$44</f>
        <v>1.3422426100592131E-2</v>
      </c>
      <c r="I20" s="24"/>
      <c r="L20" s="49"/>
      <c r="M20" s="27" t="s">
        <v>0</v>
      </c>
      <c r="N20" s="26">
        <f>+Financials!D64*(1+'Part B'!B7)</f>
        <v>1422960</v>
      </c>
      <c r="O20" s="52"/>
    </row>
    <row r="21" spans="1:15" ht="15.75" x14ac:dyDescent="0.25">
      <c r="A21" s="23"/>
      <c r="B21" s="27" t="s">
        <v>11</v>
      </c>
      <c r="C21" s="88">
        <f>+Financials!D40/Financials!$D$44</f>
        <v>0.17890326959533784</v>
      </c>
      <c r="D21" s="27"/>
      <c r="E21" s="27"/>
      <c r="F21" s="28"/>
      <c r="G21" s="26" t="s">
        <v>16</v>
      </c>
      <c r="H21" s="87">
        <f>H19+H20</f>
        <v>6.7767453834811711E-2</v>
      </c>
      <c r="I21" s="24"/>
      <c r="L21" s="49"/>
      <c r="M21" s="27" t="s">
        <v>23</v>
      </c>
      <c r="N21" s="29">
        <f>+N20*'Part B'!B8</f>
        <v>498035.99999999994</v>
      </c>
      <c r="O21" s="54"/>
    </row>
    <row r="22" spans="1:15" ht="15.75" x14ac:dyDescent="0.25">
      <c r="A22" s="23"/>
      <c r="B22" s="27" t="s">
        <v>17</v>
      </c>
      <c r="C22" s="87">
        <f>C19+C20+C21</f>
        <v>0.36488637161513793</v>
      </c>
      <c r="D22" s="27"/>
      <c r="E22" s="34"/>
      <c r="F22" s="28"/>
      <c r="G22" s="35"/>
      <c r="H22" s="87"/>
      <c r="I22" s="24"/>
      <c r="L22" s="49"/>
      <c r="M22" s="27" t="s">
        <v>3</v>
      </c>
      <c r="N22" s="29">
        <f>+N20*'Part B'!B9</f>
        <v>85377.599999999991</v>
      </c>
      <c r="O22" s="54"/>
    </row>
    <row r="23" spans="1:15" ht="15.75" x14ac:dyDescent="0.25">
      <c r="A23" s="23"/>
      <c r="B23" s="27"/>
      <c r="C23" s="87"/>
      <c r="D23" s="26"/>
      <c r="E23" s="27"/>
      <c r="F23" s="28"/>
      <c r="G23" s="26" t="s">
        <v>8</v>
      </c>
      <c r="H23" s="87">
        <f>+Financials!I42/Financials!$D$44</f>
        <v>0.28829545720504601</v>
      </c>
      <c r="I23" s="24"/>
      <c r="L23" s="49"/>
      <c r="M23" s="27" t="s">
        <v>1</v>
      </c>
      <c r="N23" s="136">
        <f>'Part B'!B10</f>
        <v>182000</v>
      </c>
      <c r="O23" s="56"/>
    </row>
    <row r="24" spans="1:15" ht="15.75" x14ac:dyDescent="0.25">
      <c r="A24" s="23"/>
      <c r="B24" s="27" t="s">
        <v>9</v>
      </c>
      <c r="C24" s="88">
        <f>+Financials!D43/Financials!$D$44</f>
        <v>0.63511362838486207</v>
      </c>
      <c r="D24" s="26"/>
      <c r="E24" s="37"/>
      <c r="F24" s="28"/>
      <c r="G24" s="38" t="s">
        <v>18</v>
      </c>
      <c r="H24" s="88">
        <f>+Financials!I43/Financials!$D$44</f>
        <v>0.64393708896014235</v>
      </c>
      <c r="I24" s="24"/>
      <c r="L24" s="49"/>
      <c r="M24" s="27" t="s">
        <v>24</v>
      </c>
      <c r="N24" s="26">
        <f>N20-N21-N22-N23</f>
        <v>657546.4</v>
      </c>
      <c r="O24" s="24"/>
    </row>
    <row r="25" spans="1:15" ht="16.5" thickBot="1" x14ac:dyDescent="0.3">
      <c r="A25" s="23"/>
      <c r="B25" s="27" t="s">
        <v>19</v>
      </c>
      <c r="C25" s="89">
        <f>C22+C24</f>
        <v>1</v>
      </c>
      <c r="D25" s="27"/>
      <c r="E25" s="27"/>
      <c r="F25" s="28"/>
      <c r="G25" s="35" t="s">
        <v>20</v>
      </c>
      <c r="H25" s="91">
        <f>C25</f>
        <v>1</v>
      </c>
      <c r="I25" s="24"/>
      <c r="L25" s="49"/>
      <c r="M25" s="27" t="s">
        <v>4</v>
      </c>
      <c r="N25" s="115">
        <f>+'Part B'!B11</f>
        <v>88450</v>
      </c>
      <c r="O25" s="52"/>
    </row>
    <row r="26" spans="1:15" ht="17.25" thickTop="1" thickBot="1" x14ac:dyDescent="0.3">
      <c r="A26" s="42"/>
      <c r="B26" s="43"/>
      <c r="C26" s="90"/>
      <c r="D26" s="43"/>
      <c r="E26" s="43"/>
      <c r="F26" s="43"/>
      <c r="G26" s="43"/>
      <c r="H26" s="92"/>
      <c r="I26" s="45"/>
      <c r="L26" s="49"/>
      <c r="M26" s="27" t="s">
        <v>25</v>
      </c>
      <c r="N26" s="26">
        <f>N24-N25</f>
        <v>569096.4</v>
      </c>
      <c r="O26" s="52"/>
    </row>
    <row r="27" spans="1:15" ht="15.75" x14ac:dyDescent="0.25">
      <c r="L27" s="49"/>
      <c r="M27" s="58" t="s">
        <v>26</v>
      </c>
      <c r="N27" s="114">
        <f>+N26*'Part B'!B12</f>
        <v>193492.77600000001</v>
      </c>
      <c r="O27" s="60"/>
    </row>
    <row r="28" spans="1:15" ht="16.5" thickBot="1" x14ac:dyDescent="0.3">
      <c r="L28" s="49"/>
      <c r="M28" s="27" t="s">
        <v>27</v>
      </c>
      <c r="N28" s="116">
        <f>N26-N27</f>
        <v>375603.62400000001</v>
      </c>
      <c r="O28" s="24"/>
    </row>
    <row r="29" spans="1:15" ht="16.5" thickTop="1" x14ac:dyDescent="0.25">
      <c r="A29" s="84" t="s">
        <v>42</v>
      </c>
      <c r="L29" s="49"/>
      <c r="M29" s="27" t="s">
        <v>12</v>
      </c>
      <c r="N29" s="26">
        <f>+N28*'Part B'!B13</f>
        <v>187801.81200000001</v>
      </c>
      <c r="O29" s="24"/>
    </row>
    <row r="30" spans="1:15" ht="33" customHeight="1" x14ac:dyDescent="0.25">
      <c r="L30" s="49"/>
      <c r="M30" s="34" t="s">
        <v>28</v>
      </c>
      <c r="N30" s="26">
        <f>N28-N29</f>
        <v>187801.81200000001</v>
      </c>
      <c r="O30" s="24"/>
    </row>
    <row r="31" spans="1:15" ht="16.5" thickBot="1" x14ac:dyDescent="0.3">
      <c r="L31" s="64"/>
      <c r="M31" s="65"/>
      <c r="N31" s="66"/>
      <c r="O31" s="67"/>
    </row>
    <row r="32" spans="1:15" ht="15.75" x14ac:dyDescent="0.25">
      <c r="A32" s="48"/>
      <c r="B32" s="20"/>
      <c r="C32" s="20"/>
      <c r="D32" s="47"/>
    </row>
    <row r="33" spans="1:14" ht="16.5" thickBot="1" x14ac:dyDescent="0.3">
      <c r="A33" s="49"/>
      <c r="B33" s="137" t="s">
        <v>22</v>
      </c>
      <c r="C33" s="137"/>
      <c r="D33" s="50"/>
      <c r="L33" s="84" t="s">
        <v>73</v>
      </c>
    </row>
    <row r="34" spans="1:14" ht="15.75" x14ac:dyDescent="0.25">
      <c r="A34" s="49"/>
      <c r="B34" s="27" t="s">
        <v>0</v>
      </c>
      <c r="C34" s="87">
        <f>+Financials!D49/Financials!$D$49</f>
        <v>1</v>
      </c>
      <c r="D34" s="52"/>
      <c r="L34" s="84" t="s">
        <v>74</v>
      </c>
    </row>
    <row r="35" spans="1:14" ht="18.75" x14ac:dyDescent="0.3">
      <c r="A35" s="49"/>
      <c r="B35" s="27" t="s">
        <v>23</v>
      </c>
      <c r="C35" s="87">
        <f>+Financials!D50/Financials!$D$49</f>
        <v>0.34381750626458135</v>
      </c>
      <c r="D35" s="54"/>
      <c r="L35" s="129" t="s">
        <v>76</v>
      </c>
    </row>
    <row r="36" spans="1:14" ht="15.75" x14ac:dyDescent="0.25">
      <c r="A36" s="49"/>
      <c r="B36" s="27" t="s">
        <v>3</v>
      </c>
      <c r="C36" s="87">
        <f>+Financials!D51/Financials!$D$49</f>
        <v>8.1741985656268903E-2</v>
      </c>
      <c r="D36" s="54"/>
    </row>
    <row r="37" spans="1:14" ht="15.75" x14ac:dyDescent="0.25">
      <c r="A37" s="49"/>
      <c r="B37" s="27" t="s">
        <v>1</v>
      </c>
      <c r="C37" s="88">
        <f>+Financials!D52/Financials!$D$49</f>
        <v>0.14352371900112332</v>
      </c>
      <c r="D37" s="56"/>
      <c r="M37" s="83" t="s">
        <v>75</v>
      </c>
      <c r="N37" s="122">
        <f>+Financials!D44</f>
        <v>8545400</v>
      </c>
    </row>
    <row r="38" spans="1:14" ht="15.75" x14ac:dyDescent="0.25">
      <c r="A38" s="49"/>
      <c r="B38" s="27" t="s">
        <v>24</v>
      </c>
      <c r="C38" s="87">
        <f>+Financials!D53/Financials!$D$49</f>
        <v>0.43091678907802644</v>
      </c>
      <c r="D38" s="24"/>
      <c r="M38" s="131" t="s">
        <v>77</v>
      </c>
      <c r="N38" s="117">
        <f>+Financials!D64</f>
        <v>1293600</v>
      </c>
    </row>
    <row r="39" spans="1:14" ht="15.75" x14ac:dyDescent="0.25">
      <c r="A39" s="49"/>
      <c r="B39" s="27" t="s">
        <v>4</v>
      </c>
      <c r="C39" s="88">
        <f>+Financials!D54/Financials!$D$49</f>
        <v>6.705262248336645E-2</v>
      </c>
      <c r="D39" s="52"/>
      <c r="M39" s="131" t="s">
        <v>78</v>
      </c>
      <c r="N39" s="122">
        <f>+N38*0.1</f>
        <v>129360</v>
      </c>
    </row>
    <row r="40" spans="1:14" ht="15.75" x14ac:dyDescent="0.25">
      <c r="A40" s="49"/>
      <c r="B40" s="27" t="s">
        <v>25</v>
      </c>
      <c r="C40" s="87">
        <f>+Financials!D55/Financials!$D$49</f>
        <v>0.36386416659465998</v>
      </c>
      <c r="D40" s="52"/>
      <c r="M40" s="131" t="s">
        <v>79</v>
      </c>
      <c r="N40" s="122">
        <f>+Financials!I38</f>
        <v>464400</v>
      </c>
    </row>
    <row r="41" spans="1:14" ht="15.75" x14ac:dyDescent="0.25">
      <c r="A41" s="49"/>
      <c r="B41" s="58" t="s">
        <v>26</v>
      </c>
      <c r="C41" s="88">
        <f>+Financials!D56/Financials!$D$49</f>
        <v>0.12371381664218439</v>
      </c>
      <c r="D41" s="60"/>
      <c r="M41" s="83" t="s">
        <v>80</v>
      </c>
      <c r="N41" s="117">
        <f>+N38+N39</f>
        <v>1422960</v>
      </c>
    </row>
    <row r="42" spans="1:14" ht="16.5" thickBot="1" x14ac:dyDescent="0.3">
      <c r="A42" s="49"/>
      <c r="B42" s="27" t="s">
        <v>27</v>
      </c>
      <c r="C42" s="91">
        <f>+Financials!D57/Financials!$D$49</f>
        <v>0.24015034995247558</v>
      </c>
      <c r="D42" s="24"/>
      <c r="M42" s="83" t="s">
        <v>81</v>
      </c>
      <c r="N42" s="132">
        <f>+E80</f>
        <v>0.24198979591836733</v>
      </c>
    </row>
    <row r="43" spans="1:14" ht="16.5" thickTop="1" x14ac:dyDescent="0.25">
      <c r="A43" s="49"/>
      <c r="B43" s="27"/>
      <c r="C43" s="87"/>
      <c r="D43" s="24"/>
      <c r="M43" s="83" t="s">
        <v>82</v>
      </c>
      <c r="N43" s="133">
        <f>+'Part B'!B13</f>
        <v>0.5</v>
      </c>
    </row>
    <row r="44" spans="1:14" ht="15.75" x14ac:dyDescent="0.25">
      <c r="A44" s="49"/>
      <c r="B44" s="27"/>
      <c r="C44" s="87"/>
      <c r="D44" s="24"/>
      <c r="M44" s="130"/>
    </row>
    <row r="45" spans="1:14" ht="21" thickBot="1" x14ac:dyDescent="0.35">
      <c r="A45" s="64"/>
      <c r="B45" s="65"/>
      <c r="C45" s="66"/>
      <c r="D45" s="67"/>
      <c r="M45" s="134" t="s">
        <v>83</v>
      </c>
      <c r="N45" s="135">
        <f>+((N37/N38)*N39)-((N40/N38)*N39)-N41*N42*N43</f>
        <v>635929.1</v>
      </c>
    </row>
    <row r="46" spans="1:14" ht="15.75" thickBot="1" x14ac:dyDescent="0.3"/>
    <row r="47" spans="1:14" ht="15.75" x14ac:dyDescent="0.25">
      <c r="A47" s="48"/>
      <c r="B47" s="20"/>
      <c r="C47" s="20"/>
      <c r="D47" s="47"/>
    </row>
    <row r="48" spans="1:14" ht="16.5" thickBot="1" x14ac:dyDescent="0.3">
      <c r="A48" s="49"/>
      <c r="B48" s="137" t="s">
        <v>29</v>
      </c>
      <c r="C48" s="137"/>
      <c r="D48" s="50"/>
      <c r="K48" s="84" t="s">
        <v>70</v>
      </c>
    </row>
    <row r="49" spans="1:20" ht="15.75" x14ac:dyDescent="0.25">
      <c r="A49" s="49"/>
      <c r="B49" s="27" t="s">
        <v>0</v>
      </c>
      <c r="C49" s="87">
        <f>+Financials!D64/Financials!$D$64</f>
        <v>1</v>
      </c>
      <c r="D49" s="52"/>
    </row>
    <row r="50" spans="1:20" ht="16.5" thickBot="1" x14ac:dyDescent="0.3">
      <c r="A50" s="49"/>
      <c r="B50" s="27" t="s">
        <v>23</v>
      </c>
      <c r="C50" s="87">
        <f>+Financials!D65/Financials!$D$64</f>
        <v>0.36386827458256027</v>
      </c>
      <c r="D50" s="54"/>
    </row>
    <row r="51" spans="1:20" ht="15.75" x14ac:dyDescent="0.25">
      <c r="A51" s="49"/>
      <c r="B51" s="27" t="s">
        <v>3</v>
      </c>
      <c r="C51" s="87">
        <f>+Financials!D66/Financials!$D$64</f>
        <v>6.3698206555349413E-2</v>
      </c>
      <c r="D51" s="54"/>
      <c r="K51" s="19"/>
      <c r="L51" s="20"/>
      <c r="M51" s="20"/>
      <c r="N51" s="20"/>
      <c r="O51" s="20"/>
      <c r="P51" s="20"/>
      <c r="Q51" s="20"/>
      <c r="R51" s="21"/>
      <c r="S51" s="47"/>
    </row>
    <row r="52" spans="1:20" ht="16.5" thickBot="1" x14ac:dyDescent="0.3">
      <c r="A52" s="49"/>
      <c r="B52" s="27" t="s">
        <v>1</v>
      </c>
      <c r="C52" s="88">
        <f>+Financials!D67/Financials!$D$64</f>
        <v>0.13419913419913421</v>
      </c>
      <c r="D52" s="56"/>
      <c r="K52" s="23"/>
      <c r="L52" s="137" t="s">
        <v>71</v>
      </c>
      <c r="M52" s="137"/>
      <c r="N52" s="137"/>
      <c r="O52" s="137"/>
      <c r="P52" s="137"/>
      <c r="Q52" s="137"/>
      <c r="R52" s="137"/>
      <c r="S52" s="24"/>
    </row>
    <row r="53" spans="1:20" ht="15.75" x14ac:dyDescent="0.25">
      <c r="A53" s="49"/>
      <c r="B53" s="27" t="s">
        <v>24</v>
      </c>
      <c r="C53" s="87">
        <f>+Financials!D68/Financials!$D$64</f>
        <v>0.43823438466295611</v>
      </c>
      <c r="D53" s="24"/>
      <c r="K53" s="23"/>
      <c r="L53" s="25" t="s">
        <v>5</v>
      </c>
      <c r="M53" s="87">
        <f>+N7/$N$13</f>
        <v>7.6030080187911533E-2</v>
      </c>
      <c r="N53" s="26"/>
      <c r="O53" s="27"/>
      <c r="P53" s="28"/>
      <c r="Q53" s="27" t="s">
        <v>85</v>
      </c>
      <c r="R53" s="26" t="s">
        <v>10</v>
      </c>
      <c r="S53" s="87">
        <f>+S7/$N$13</f>
        <v>4.0549158782496084E-2</v>
      </c>
    </row>
    <row r="54" spans="1:20" ht="15.75" x14ac:dyDescent="0.25">
      <c r="A54" s="49"/>
      <c r="B54" s="27" t="s">
        <v>4</v>
      </c>
      <c r="C54" s="88">
        <f>+Financials!D69/Financials!$D$64</f>
        <v>7.1583178726035868E-2</v>
      </c>
      <c r="D54" s="52"/>
      <c r="K54" s="23"/>
      <c r="L54" s="27" t="s">
        <v>6</v>
      </c>
      <c r="M54" s="87">
        <f>+N8/$N$13</f>
        <v>0.11413930423091995</v>
      </c>
      <c r="N54" s="29"/>
      <c r="O54" s="27"/>
      <c r="P54" s="28"/>
      <c r="Q54" s="27"/>
      <c r="R54" s="30" t="s">
        <v>15</v>
      </c>
      <c r="S54" s="87">
        <f>+S8/$N$13</f>
        <v>1.3219863988598271E-2</v>
      </c>
    </row>
    <row r="55" spans="1:20" ht="15.75" x14ac:dyDescent="0.25">
      <c r="A55" s="49"/>
      <c r="B55" s="27" t="s">
        <v>25</v>
      </c>
      <c r="C55" s="87">
        <f>+Financials!D70/Financials!$D$64</f>
        <v>0.36665120593692024</v>
      </c>
      <c r="D55" s="52"/>
      <c r="K55" s="23"/>
      <c r="L55" s="27" t="s">
        <v>11</v>
      </c>
      <c r="M55" s="88">
        <f>+N9/$N$13</f>
        <v>0.17798321546563312</v>
      </c>
      <c r="N55" s="27"/>
      <c r="O55" s="27"/>
      <c r="P55" s="28"/>
      <c r="Q55" s="27"/>
      <c r="R55" s="26" t="s">
        <v>69</v>
      </c>
      <c r="S55" s="88">
        <f>+S9/$N$13</f>
        <v>2.664975003416933E-3</v>
      </c>
    </row>
    <row r="56" spans="1:20" ht="15.75" x14ac:dyDescent="0.25">
      <c r="A56" s="49"/>
      <c r="B56" s="58" t="s">
        <v>26</v>
      </c>
      <c r="C56" s="88">
        <f>+Financials!D71/Financials!$D$64</f>
        <v>0.12466141001855288</v>
      </c>
      <c r="D56" s="60"/>
      <c r="K56" s="23"/>
      <c r="L56" s="27" t="s">
        <v>17</v>
      </c>
      <c r="M56" s="87">
        <f>M53+M54+M55</f>
        <v>0.36815259988446458</v>
      </c>
      <c r="N56" s="27"/>
      <c r="O56" s="34"/>
      <c r="P56" s="28"/>
      <c r="Q56" s="34"/>
      <c r="R56" s="35" t="s">
        <v>16</v>
      </c>
      <c r="S56" s="87">
        <f>+SUM(S53:S55)</f>
        <v>5.6433997774511288E-2</v>
      </c>
    </row>
    <row r="57" spans="1:20" ht="16.5" thickBot="1" x14ac:dyDescent="0.3">
      <c r="A57" s="49"/>
      <c r="B57" s="27" t="s">
        <v>27</v>
      </c>
      <c r="C57" s="91">
        <f>+Financials!D72/Financials!$D$64</f>
        <v>0.24198979591836733</v>
      </c>
      <c r="D57" s="24"/>
      <c r="K57" s="23"/>
      <c r="L57" s="27"/>
      <c r="M57" s="87"/>
      <c r="N57" s="26"/>
      <c r="O57" s="27"/>
      <c r="P57" s="28"/>
      <c r="Q57" s="27"/>
      <c r="R57" s="26" t="s">
        <v>8</v>
      </c>
      <c r="S57" s="87">
        <f>+S11/$N$13</f>
        <v>0.28107657026995753</v>
      </c>
    </row>
    <row r="58" spans="1:20" ht="16.5" thickTop="1" x14ac:dyDescent="0.25">
      <c r="A58" s="49"/>
      <c r="B58" s="27"/>
      <c r="C58" s="87"/>
      <c r="D58" s="24"/>
      <c r="K58" s="23"/>
      <c r="L58" s="27" t="s">
        <v>9</v>
      </c>
      <c r="M58" s="88">
        <f>+N12/$N$13</f>
        <v>0.63184740011553542</v>
      </c>
      <c r="N58" s="26"/>
      <c r="O58" s="37"/>
      <c r="P58" s="28"/>
      <c r="Q58" s="37"/>
      <c r="R58" s="38" t="s">
        <v>18</v>
      </c>
      <c r="S58" s="88">
        <f>+S12/$N$13</f>
        <v>0.6624894100685319</v>
      </c>
      <c r="T58" s="84"/>
    </row>
    <row r="59" spans="1:20" ht="16.5" thickBot="1" x14ac:dyDescent="0.3">
      <c r="A59" s="49"/>
      <c r="B59" s="27"/>
      <c r="C59" s="87"/>
      <c r="D59" s="24"/>
      <c r="K59" s="23"/>
      <c r="L59" s="27" t="s">
        <v>19</v>
      </c>
      <c r="M59" s="89">
        <f>M56+M58</f>
        <v>1</v>
      </c>
      <c r="N59" s="27"/>
      <c r="O59" s="27"/>
      <c r="P59" s="28"/>
      <c r="Q59" s="27"/>
      <c r="R59" s="35" t="s">
        <v>20</v>
      </c>
      <c r="S59" s="91">
        <f>+SUM(S56:S58)</f>
        <v>0.99999997811300068</v>
      </c>
    </row>
    <row r="60" spans="1:20" ht="17.25" thickTop="1" thickBot="1" x14ac:dyDescent="0.3">
      <c r="A60" s="64"/>
      <c r="B60" s="65"/>
      <c r="C60" s="66"/>
      <c r="D60" s="67"/>
      <c r="K60" s="23"/>
      <c r="L60" s="27"/>
      <c r="M60" s="33"/>
      <c r="N60" s="27"/>
      <c r="O60" s="27"/>
      <c r="P60" s="28"/>
      <c r="Q60" s="35"/>
      <c r="R60" s="33"/>
      <c r="S60" s="24"/>
      <c r="T60" s="83"/>
    </row>
    <row r="61" spans="1:20" ht="16.5" thickBot="1" x14ac:dyDescent="0.3">
      <c r="K61" s="42"/>
      <c r="L61" s="43"/>
      <c r="M61" s="43"/>
      <c r="N61" s="43"/>
      <c r="O61" s="43"/>
      <c r="P61" s="43"/>
      <c r="Q61" s="43"/>
      <c r="R61" s="44"/>
      <c r="S61" s="45"/>
    </row>
    <row r="63" spans="1:20" s="84" customFormat="1" ht="15.75" thickBot="1" x14ac:dyDescent="0.3">
      <c r="A63" s="84" t="s">
        <v>43</v>
      </c>
      <c r="C63" s="93"/>
      <c r="H63" s="93"/>
      <c r="K63"/>
      <c r="L63"/>
      <c r="M63"/>
      <c r="N63"/>
      <c r="O63"/>
      <c r="P63"/>
      <c r="Q63"/>
      <c r="R63"/>
      <c r="S63"/>
      <c r="T63"/>
    </row>
    <row r="64" spans="1:20" ht="15.75" x14ac:dyDescent="0.25">
      <c r="K64" s="48"/>
      <c r="L64" s="138" t="s">
        <v>72</v>
      </c>
      <c r="M64" s="138"/>
      <c r="N64" s="47"/>
    </row>
    <row r="65" spans="1:20" s="83" customFormat="1" ht="16.5" thickBot="1" x14ac:dyDescent="0.3">
      <c r="C65" s="94">
        <v>2015</v>
      </c>
      <c r="E65" s="94">
        <v>2016</v>
      </c>
      <c r="G65" s="99">
        <v>2017</v>
      </c>
      <c r="H65" s="95"/>
      <c r="K65" s="49"/>
      <c r="L65" s="137" t="s">
        <v>68</v>
      </c>
      <c r="M65" s="137"/>
      <c r="N65" s="50"/>
      <c r="O65"/>
      <c r="P65"/>
      <c r="Q65"/>
      <c r="R65"/>
      <c r="S65"/>
      <c r="T65"/>
    </row>
    <row r="66" spans="1:20" ht="15.75" x14ac:dyDescent="0.25">
      <c r="B66" t="s">
        <v>44</v>
      </c>
      <c r="C66" s="96">
        <f>+Financials!$D$57</f>
        <v>277926</v>
      </c>
      <c r="E66" s="96">
        <f>+Financials!$D$72</f>
        <v>313038</v>
      </c>
      <c r="G66" s="117">
        <f>+$N$28</f>
        <v>375603.62400000001</v>
      </c>
      <c r="K66" s="49"/>
      <c r="L66" s="27" t="s">
        <v>0</v>
      </c>
      <c r="M66" s="87">
        <f>+N20/$N$20</f>
        <v>1</v>
      </c>
      <c r="N66" s="52"/>
    </row>
    <row r="67" spans="1:20" ht="16.5" thickBot="1" x14ac:dyDescent="0.3">
      <c r="B67" t="s">
        <v>45</v>
      </c>
      <c r="C67" s="96">
        <f>+Financials!I32</f>
        <v>5339700</v>
      </c>
      <c r="E67" s="96">
        <f>+Financials!I43</f>
        <v>5502700</v>
      </c>
      <c r="G67" s="117">
        <f>+$S$12</f>
        <v>5690501.8119999999</v>
      </c>
      <c r="K67" s="49"/>
      <c r="L67" s="27" t="s">
        <v>23</v>
      </c>
      <c r="M67" s="87">
        <f>+N21/$N$20</f>
        <v>0.35</v>
      </c>
      <c r="N67" s="54"/>
    </row>
    <row r="68" spans="1:20" ht="16.5" thickBot="1" x14ac:dyDescent="0.3">
      <c r="B68" s="118" t="s">
        <v>46</v>
      </c>
      <c r="C68" s="119">
        <f>+C66/C67</f>
        <v>5.2048991516377326E-2</v>
      </c>
      <c r="D68" s="119"/>
      <c r="E68" s="119">
        <f>+E66/E67</f>
        <v>5.688807312773729E-2</v>
      </c>
      <c r="F68" s="120"/>
      <c r="G68" s="121">
        <f>+G66/G67</f>
        <v>6.6005360583127434E-2</v>
      </c>
      <c r="K68" s="49"/>
      <c r="L68" s="27" t="s">
        <v>3</v>
      </c>
      <c r="M68" s="87">
        <f>+N22/$N$20</f>
        <v>5.9999999999999991E-2</v>
      </c>
      <c r="N68" s="54"/>
    </row>
    <row r="69" spans="1:20" ht="15.75" x14ac:dyDescent="0.25">
      <c r="C69" s="96"/>
      <c r="K69" s="49"/>
      <c r="L69" s="27" t="s">
        <v>1</v>
      </c>
      <c r="M69" s="88">
        <f>+N23/$N$20</f>
        <v>0.12790240062967337</v>
      </c>
      <c r="N69" s="56"/>
    </row>
    <row r="70" spans="1:20" ht="15.75" x14ac:dyDescent="0.25">
      <c r="C70" s="96"/>
      <c r="K70" s="49"/>
      <c r="L70" s="27" t="s">
        <v>24</v>
      </c>
      <c r="M70" s="87">
        <f>M66-M67-M68-M69</f>
        <v>0.46209759937032668</v>
      </c>
      <c r="N70" s="24"/>
      <c r="T70" s="84"/>
    </row>
    <row r="71" spans="1:20" ht="15.75" x14ac:dyDescent="0.25">
      <c r="A71" s="84" t="s">
        <v>48</v>
      </c>
      <c r="B71" s="84"/>
      <c r="C71" s="97"/>
      <c r="D71" s="84"/>
      <c r="E71" s="84"/>
      <c r="F71" s="84"/>
      <c r="G71" s="84"/>
      <c r="K71" s="49"/>
      <c r="L71" s="27" t="s">
        <v>4</v>
      </c>
      <c r="M71" s="88">
        <f>+N25/$N$20</f>
        <v>6.215916118513521E-2</v>
      </c>
      <c r="N71" s="52"/>
    </row>
    <row r="72" spans="1:20" ht="15.75" x14ac:dyDescent="0.25">
      <c r="B72" t="s">
        <v>44</v>
      </c>
      <c r="C72" s="96">
        <f>+Financials!$D$57</f>
        <v>277926</v>
      </c>
      <c r="E72" s="96">
        <f>+Financials!$D$72</f>
        <v>313038</v>
      </c>
      <c r="G72" s="117">
        <f>+$N$28</f>
        <v>375603.62400000001</v>
      </c>
      <c r="K72" s="49"/>
      <c r="L72" s="27" t="s">
        <v>25</v>
      </c>
      <c r="M72" s="87">
        <f>M70-M71</f>
        <v>0.39993843818519148</v>
      </c>
      <c r="N72" s="52"/>
    </row>
    <row r="73" spans="1:20" ht="16.5" thickBot="1" x14ac:dyDescent="0.3">
      <c r="B73" t="s">
        <v>47</v>
      </c>
      <c r="C73" s="96">
        <f>+Financials!$D$33</f>
        <v>7927200</v>
      </c>
      <c r="E73" s="96">
        <f>+Financials!$D$44</f>
        <v>8545400</v>
      </c>
      <c r="G73" s="117">
        <f>+$N$13</f>
        <v>8589574</v>
      </c>
      <c r="K73" s="49"/>
      <c r="L73" s="58" t="s">
        <v>26</v>
      </c>
      <c r="M73" s="88">
        <f>+N27/$N$20</f>
        <v>0.13597906898296511</v>
      </c>
      <c r="N73" s="60"/>
      <c r="T73" s="84"/>
    </row>
    <row r="74" spans="1:20" ht="16.5" thickBot="1" x14ac:dyDescent="0.3">
      <c r="A74" s="84"/>
      <c r="B74" s="98" t="s">
        <v>49</v>
      </c>
      <c r="C74" s="100">
        <f>+C72/C73</f>
        <v>3.5059794126551622E-2</v>
      </c>
      <c r="D74" s="102"/>
      <c r="E74" s="101">
        <f>+E72/E73</f>
        <v>3.6632340206426847E-2</v>
      </c>
      <c r="F74" s="102"/>
      <c r="G74" s="101">
        <f>+G72/G73</f>
        <v>4.3727852394076817E-2</v>
      </c>
      <c r="K74" s="49"/>
      <c r="L74" s="27" t="s">
        <v>27</v>
      </c>
      <c r="M74" s="91">
        <f>M72-M73</f>
        <v>0.2639593692022264</v>
      </c>
      <c r="N74" s="24"/>
    </row>
    <row r="75" spans="1:20" s="84" customFormat="1" ht="15.75" x14ac:dyDescent="0.25">
      <c r="A75"/>
      <c r="B75"/>
      <c r="C75" s="85"/>
      <c r="D75"/>
      <c r="E75"/>
      <c r="F75"/>
      <c r="G75"/>
      <c r="H75" s="93"/>
      <c r="K75" s="49"/>
      <c r="L75" s="27"/>
      <c r="M75" s="87"/>
      <c r="N75" s="24"/>
      <c r="O75"/>
      <c r="P75"/>
      <c r="Q75"/>
      <c r="R75"/>
      <c r="S75"/>
      <c r="T75"/>
    </row>
    <row r="76" spans="1:20" ht="15.75" x14ac:dyDescent="0.25">
      <c r="K76" s="49"/>
      <c r="L76" s="34"/>
      <c r="M76" s="87"/>
      <c r="N76" s="24"/>
      <c r="T76" s="84"/>
    </row>
    <row r="77" spans="1:20" ht="16.5" thickBot="1" x14ac:dyDescent="0.3">
      <c r="A77" s="84" t="s">
        <v>50</v>
      </c>
      <c r="B77" s="84"/>
      <c r="C77" s="93"/>
      <c r="D77" s="84"/>
      <c r="E77" s="84"/>
      <c r="F77" s="84"/>
      <c r="G77" s="84"/>
      <c r="K77" s="64"/>
      <c r="L77" s="65"/>
      <c r="M77" s="66"/>
      <c r="N77" s="67"/>
    </row>
    <row r="78" spans="1:20" s="84" customFormat="1" x14ac:dyDescent="0.25">
      <c r="A78"/>
      <c r="B78" t="s">
        <v>44</v>
      </c>
      <c r="C78" s="96">
        <f>+Financials!$D$57</f>
        <v>277926</v>
      </c>
      <c r="D78"/>
      <c r="E78" s="96">
        <f>+Financials!$D$72</f>
        <v>313038</v>
      </c>
      <c r="F78"/>
      <c r="G78" s="117">
        <f>+$N$28</f>
        <v>375603.62400000001</v>
      </c>
      <c r="H78" s="93"/>
      <c r="K78"/>
      <c r="L78"/>
      <c r="M78"/>
      <c r="N78"/>
      <c r="O78"/>
      <c r="P78"/>
      <c r="Q78"/>
      <c r="R78"/>
      <c r="S78"/>
      <c r="T78"/>
    </row>
    <row r="79" spans="1:20" ht="15.75" thickBot="1" x14ac:dyDescent="0.3">
      <c r="B79" t="s">
        <v>0</v>
      </c>
      <c r="C79" s="96">
        <f>+Financials!$D$49</f>
        <v>1157300</v>
      </c>
      <c r="E79" s="13">
        <f>+Financials!$D$64</f>
        <v>1293600</v>
      </c>
      <c r="G79" s="117">
        <f>+$N$20</f>
        <v>1422960</v>
      </c>
      <c r="K79" s="84"/>
      <c r="L79" s="84"/>
      <c r="M79" s="84"/>
      <c r="N79" s="84"/>
      <c r="O79" s="84"/>
      <c r="P79" s="84"/>
      <c r="Q79" s="84"/>
      <c r="R79" s="84"/>
      <c r="S79" s="84"/>
      <c r="T79" s="84"/>
    </row>
    <row r="80" spans="1:20" ht="15.75" thickBot="1" x14ac:dyDescent="0.3">
      <c r="A80" s="84"/>
      <c r="B80" s="98" t="s">
        <v>51</v>
      </c>
      <c r="C80" s="100">
        <f>+C78/C79</f>
        <v>0.24015034995247558</v>
      </c>
      <c r="D80" s="102"/>
      <c r="E80" s="101">
        <f>+E78/E79</f>
        <v>0.24198979591836733</v>
      </c>
      <c r="F80" s="102"/>
      <c r="G80" s="101">
        <f>+G78/G79</f>
        <v>0.26395936920222635</v>
      </c>
    </row>
    <row r="81" spans="1:20" s="84" customFormat="1" x14ac:dyDescent="0.25">
      <c r="A81"/>
      <c r="B81"/>
      <c r="C81" s="85"/>
      <c r="D81"/>
      <c r="E81"/>
      <c r="F81"/>
      <c r="G81"/>
      <c r="H81" s="93"/>
      <c r="K81"/>
      <c r="L81"/>
      <c r="M81"/>
      <c r="N81"/>
      <c r="O81"/>
      <c r="P81"/>
      <c r="Q81"/>
      <c r="R81"/>
      <c r="S81"/>
      <c r="T81"/>
    </row>
    <row r="82" spans="1:20" x14ac:dyDescent="0.25">
      <c r="K82" s="84"/>
      <c r="L82" s="84"/>
      <c r="M82" s="84"/>
      <c r="N82" s="84"/>
      <c r="O82" s="84"/>
      <c r="P82" s="84"/>
      <c r="Q82" s="84"/>
      <c r="R82" s="84"/>
      <c r="S82" s="84"/>
      <c r="T82" s="84"/>
    </row>
    <row r="84" spans="1:20" s="84" customFormat="1" x14ac:dyDescent="0.25">
      <c r="A84"/>
      <c r="B84"/>
      <c r="C84" s="85"/>
      <c r="D84"/>
      <c r="E84"/>
      <c r="F84"/>
      <c r="G84"/>
      <c r="H84" s="93"/>
      <c r="K84"/>
      <c r="L84"/>
      <c r="M84"/>
      <c r="N84"/>
      <c r="O84"/>
      <c r="P84"/>
      <c r="Q84"/>
      <c r="R84"/>
      <c r="S84"/>
      <c r="T84"/>
    </row>
    <row r="87" spans="1:20" s="84" customFormat="1" x14ac:dyDescent="0.25">
      <c r="A87"/>
      <c r="B87"/>
      <c r="C87" s="85"/>
      <c r="D87"/>
      <c r="E87"/>
      <c r="F87"/>
      <c r="G87"/>
      <c r="H87" s="93"/>
      <c r="K87"/>
      <c r="L87"/>
      <c r="M87"/>
      <c r="N87"/>
      <c r="O87"/>
      <c r="P87"/>
      <c r="Q87"/>
      <c r="R87"/>
      <c r="S87"/>
      <c r="T87"/>
    </row>
  </sheetData>
  <mergeCells count="9">
    <mergeCell ref="B6:H6"/>
    <mergeCell ref="B18:H18"/>
    <mergeCell ref="B33:C33"/>
    <mergeCell ref="B48:C48"/>
    <mergeCell ref="M6:S6"/>
    <mergeCell ref="M19:N19"/>
    <mergeCell ref="L52:R52"/>
    <mergeCell ref="L65:M65"/>
    <mergeCell ref="L64:M64"/>
  </mergeCells>
  <pageMargins left="0.7" right="0.7" top="0.75" bottom="0.75" header="0.3" footer="0.3"/>
  <pageSetup orientation="landscape" r:id="rId1"/>
  <ignoredErrors>
    <ignoredError sqref="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Financials</vt:lpstr>
      <vt:lpstr>Sheet1</vt:lpstr>
      <vt:lpstr>Questions</vt:lpstr>
      <vt:lpstr>Part B</vt:lpstr>
      <vt:lpstr>Results</vt:lpstr>
      <vt:lpstr>BS_2015</vt:lpstr>
      <vt:lpstr>BS_2016</vt:lpstr>
      <vt:lpstr>Inputs</vt:lpstr>
      <vt:lpstr>IS_2015</vt:lpstr>
      <vt:lpstr>IS_2016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Roten, Ivan Carl</dc:creator>
  <cp:lastModifiedBy>Roten, Ivan Carl</cp:lastModifiedBy>
  <cp:lastPrinted>2017-06-27T14:08:45Z</cp:lastPrinted>
  <dcterms:created xsi:type="dcterms:W3CDTF">2017-03-04T12:37:53Z</dcterms:created>
  <dcterms:modified xsi:type="dcterms:W3CDTF">2017-06-27T17:14:28Z</dcterms:modified>
</cp:coreProperties>
</file>